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van 15 e 18 lugar" sheetId="1" r:id="rId1"/>
    <sheet name="micro 26 lugar" sheetId="2" r:id="rId2"/>
    <sheet name="onibus 40 lugar" sheetId="3" r:id="rId3"/>
  </sheets>
  <calcPr calcId="152511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2"/>
  <c r="D33" i="1"/>
  <c r="D32"/>
  <c r="D32" i="2"/>
  <c r="D33" i="3"/>
  <c r="D32"/>
  <c r="D5" i="2" l="1"/>
  <c r="D5" i="3"/>
  <c r="D5" i="1"/>
  <c r="D52" i="3" l="1"/>
  <c r="D50" i="1" l="1"/>
  <c r="D51" s="1"/>
  <c r="D49"/>
  <c r="C46"/>
  <c r="D50" i="2"/>
  <c r="D51" s="1"/>
  <c r="D49"/>
  <c r="C46"/>
  <c r="D50" i="3"/>
  <c r="D51" s="1"/>
  <c r="D49"/>
  <c r="C46"/>
  <c r="C47" s="1"/>
  <c r="D48" s="1"/>
  <c r="C47" i="1" l="1"/>
  <c r="D48" s="1"/>
  <c r="D52"/>
  <c r="C47" i="2"/>
  <c r="D48" s="1"/>
  <c r="D52"/>
  <c r="D53"/>
  <c r="D53" i="3"/>
  <c r="B20"/>
  <c r="D20" s="1"/>
  <c r="H65"/>
  <c r="H67" s="1"/>
  <c r="C40"/>
  <c r="C39"/>
  <c r="C38"/>
  <c r="C37"/>
  <c r="C36"/>
  <c r="B18"/>
  <c r="D16"/>
  <c r="C13"/>
  <c r="B24" s="1"/>
  <c r="B10"/>
  <c r="B11" s="1"/>
  <c r="C12" s="1"/>
  <c r="B23" s="1"/>
  <c r="D7"/>
  <c r="C17" s="1"/>
  <c r="B18" i="2"/>
  <c r="B20"/>
  <c r="B18" i="1"/>
  <c r="H67" i="2"/>
  <c r="H65"/>
  <c r="C40"/>
  <c r="C39"/>
  <c r="C38"/>
  <c r="C37"/>
  <c r="C36"/>
  <c r="D20"/>
  <c r="D16"/>
  <c r="C13"/>
  <c r="B24" s="1"/>
  <c r="B10"/>
  <c r="B11" s="1"/>
  <c r="C12" s="1"/>
  <c r="B23" s="1"/>
  <c r="D7"/>
  <c r="C17" s="1"/>
  <c r="C40" i="1"/>
  <c r="C39"/>
  <c r="C38"/>
  <c r="C37"/>
  <c r="C36"/>
  <c r="D53" l="1"/>
  <c r="C19" i="3"/>
  <c r="D17"/>
  <c r="C18"/>
  <c r="D18" s="1"/>
  <c r="C19" i="2"/>
  <c r="C18"/>
  <c r="D18" s="1"/>
  <c r="D17"/>
  <c r="B20" i="1"/>
  <c r="B10"/>
  <c r="D7"/>
  <c r="D54" i="3" l="1"/>
  <c r="D55"/>
  <c r="D56" s="1"/>
  <c r="C21"/>
  <c r="D21" s="1"/>
  <c r="C22"/>
  <c r="C23" s="1"/>
  <c r="D19"/>
  <c r="D54" i="2"/>
  <c r="D55"/>
  <c r="C21"/>
  <c r="D21" s="1"/>
  <c r="C22"/>
  <c r="C23" s="1"/>
  <c r="D19"/>
  <c r="H65" i="1"/>
  <c r="H67" s="1"/>
  <c r="D56" i="2" l="1"/>
  <c r="I56" i="3"/>
  <c r="C24"/>
  <c r="D24" s="1"/>
  <c r="D23"/>
  <c r="C24" i="2"/>
  <c r="D24" s="1"/>
  <c r="D23"/>
  <c r="I56"/>
  <c r="D55" i="1"/>
  <c r="I66" i="3" l="1"/>
  <c r="I63"/>
  <c r="I59"/>
  <c r="I65"/>
  <c r="I62"/>
  <c r="I61"/>
  <c r="I64"/>
  <c r="I60"/>
  <c r="I66" i="2"/>
  <c r="I63"/>
  <c r="I59"/>
  <c r="I60"/>
  <c r="I65"/>
  <c r="I62"/>
  <c r="I61"/>
  <c r="I64"/>
  <c r="D54" i="1"/>
  <c r="I56" s="1"/>
  <c r="D56"/>
  <c r="D20"/>
  <c r="I67" i="3" l="1"/>
  <c r="I69" s="1"/>
  <c r="I70" s="1"/>
  <c r="B22" s="1"/>
  <c r="D22" s="1"/>
  <c r="D25" s="1"/>
  <c r="D27" s="1"/>
  <c r="I67" i="2"/>
  <c r="I69" s="1"/>
  <c r="I70" s="1"/>
  <c r="B22" s="1"/>
  <c r="D22" s="1"/>
  <c r="D25" s="1"/>
  <c r="I65" i="1"/>
  <c r="I64"/>
  <c r="I66"/>
  <c r="I60"/>
  <c r="I59"/>
  <c r="I61"/>
  <c r="I63"/>
  <c r="I62"/>
  <c r="D16"/>
  <c r="D28" i="3" l="1"/>
  <c r="D29" s="1"/>
  <c r="D30" s="1"/>
  <c r="D27" i="2"/>
  <c r="D28"/>
  <c r="C13" i="1"/>
  <c r="B24" s="1"/>
  <c r="B11"/>
  <c r="C12" s="1"/>
  <c r="B23" s="1"/>
  <c r="C17"/>
  <c r="C19" s="1"/>
  <c r="D29" i="2" l="1"/>
  <c r="D30" s="1"/>
  <c r="D36" i="3"/>
  <c r="D38"/>
  <c r="D40"/>
  <c r="D37"/>
  <c r="D39"/>
  <c r="C22" i="1"/>
  <c r="C21"/>
  <c r="D21" s="1"/>
  <c r="C18"/>
  <c r="D37" i="2" l="1"/>
  <c r="D38"/>
  <c r="D39"/>
  <c r="D36"/>
  <c r="D40"/>
  <c r="C23" i="1"/>
  <c r="D19"/>
  <c r="D18"/>
  <c r="D17"/>
  <c r="C24" l="1"/>
  <c r="D24" s="1"/>
  <c r="D23"/>
  <c r="I67" l="1"/>
  <c r="I69" s="1"/>
  <c r="I70" s="1"/>
  <c r="B22" s="1"/>
  <c r="D22" s="1"/>
  <c r="D25" s="1"/>
  <c r="D28" l="1"/>
  <c r="D27"/>
  <c r="D29" l="1"/>
  <c r="D30" s="1"/>
  <c r="D37" l="1"/>
  <c r="D36"/>
  <c r="D38"/>
  <c r="D39"/>
  <c r="D40"/>
</calcChain>
</file>

<file path=xl/sharedStrings.xml><?xml version="1.0" encoding="utf-8"?>
<sst xmlns="http://schemas.openxmlformats.org/spreadsheetml/2006/main" count="285" uniqueCount="98">
  <si>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</si>
  <si>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</si>
  <si>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</si>
  <si>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</si>
  <si>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</si>
  <si>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</si>
  <si>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</si>
  <si>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</si>
  <si>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</si>
  <si>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</si>
  <si>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</si>
  <si>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</si>
  <si>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</si>
  <si>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</si>
  <si>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</si>
  <si>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</si>
  <si>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</si>
  <si>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</si>
  <si>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</si>
  <si>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produtividade/km</t>
  </si>
  <si>
    <t>kms rodados por mês</t>
  </si>
  <si>
    <t>Custo direto por km</t>
  </si>
  <si>
    <t>Total final do preço por km</t>
  </si>
  <si>
    <t>Seguro passageiros-mensal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</si>
  <si>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</si>
  <si>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</si>
  <si>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</si>
  <si>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</si>
  <si>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</si>
  <si>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</si>
  <si>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</si>
  <si>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</si>
  <si>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</si>
  <si>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</si>
  <si>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</si>
  <si>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</si>
  <si>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</si>
  <si>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</si>
  <si>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</si>
  <si>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</si>
  <si>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</si>
  <si>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</si>
  <si>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</si>
  <si>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</si>
  <si>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</si>
  <si>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</si>
  <si>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</si>
  <si>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</si>
  <si>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</si>
  <si>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</si>
  <si>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</si>
  <si>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</si>
  <si>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</si>
  <si>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</si>
  <si>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</si>
  <si>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</si>
  <si>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</si>
  <si>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</si>
  <si>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</si>
  <si>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</si>
  <si>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</si>
  <si>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</si>
  <si>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</si>
  <si>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</si>
  <si>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</si>
  <si>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</si>
  <si>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</si>
  <si>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</si>
  <si>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</si>
  <si>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</si>
  <si>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</si>
  <si>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</si>
  <si>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</si>
  <si>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</si>
  <si>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</si>
  <si>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Valor residual 20%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</si>
  <si>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São Gabriel (63,8 km)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</si>
  <si>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Porto Alegre (389 km)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</si>
  <si>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Santa Maria (138 km)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</si>
  <si>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Arial"/>
        <family val="2"/>
      </rPr>
      <t>Rosário – Uruguaiana (245 km)</t>
    </r>
  </si>
  <si>
    <t xml:space="preserve">5. Rosário – Alegrete (105 km) </t>
  </si>
  <si>
    <t>TRANSPORTES:</t>
  </si>
  <si>
    <t>Km de Ida e volta</t>
  </si>
  <si>
    <t>Preço total</t>
  </si>
  <si>
    <t>van 15 e 18 lugares transporte</t>
  </si>
  <si>
    <t>micro 26 lugares transporte</t>
  </si>
  <si>
    <t>Pneus 6</t>
  </si>
  <si>
    <t>IPVA/DPVAT anual e outros custos</t>
  </si>
  <si>
    <t>onibus 40 lugares transporte</t>
  </si>
  <si>
    <t>SINDICATO DAS EMPRESAS DE TRANSPORTE COLETIVO RODOVIARIO INTERMUNICIPAL,INTERESTADUAL E INTERNACIONAL DO ESTADO DO, CNPJ n. 04.418.876/0001-03</t>
  </si>
  <si>
    <t>Salário base cfe convenção coletiva para 220 hs</t>
  </si>
  <si>
    <t>Salário base para 200 horas</t>
  </si>
  <si>
    <t>Desconto alimentação cfe cct</t>
  </si>
  <si>
    <t>Desconto transporte</t>
  </si>
  <si>
    <t>kms rodados por hora/média</t>
  </si>
  <si>
    <t>Horas por dia úteis de viagem</t>
  </si>
  <si>
    <t>Cofins 3%; Pis 0,65%; ISSQN 0%</t>
  </si>
  <si>
    <t>ICMS 12%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</si>
</sst>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Arial"/>
      <family val="2"/>
    </font>
    <font>
      <sz val="7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9" fillId="4" borderId="0" xfId="2" applyFont="1" applyFill="1"/>
    <xf numFmtId="0" fontId="8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left" vertical="top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Excel Built-in Normal" xfId="2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13" workbookViewId="0">
      <selection activeCell="D33" sqref="D33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>
      <c r="A1" s="57" t="s">
        <v>7</v>
      </c>
      <c r="B1" s="57"/>
      <c r="C1" s="57"/>
      <c r="D1" s="57"/>
      <c r="E1" s="57"/>
      <c r="F1" s="57"/>
    </row>
    <row r="2" spans="1:6">
      <c r="A2" s="6"/>
      <c r="B2" s="6"/>
      <c r="C2" s="6"/>
      <c r="D2" s="6"/>
      <c r="E2" s="6"/>
      <c r="F2" s="6"/>
    </row>
    <row r="3" spans="1:6">
      <c r="A3" s="44"/>
      <c r="B3" s="45" t="s">
        <v>95</v>
      </c>
      <c r="C3" s="44"/>
      <c r="D3" s="44">
        <v>7</v>
      </c>
      <c r="E3" s="44"/>
      <c r="F3" s="44"/>
    </row>
    <row r="4" spans="1:6">
      <c r="A4" s="44"/>
      <c r="B4" s="45" t="s">
        <v>94</v>
      </c>
      <c r="C4" s="44"/>
      <c r="D4" s="44">
        <v>50</v>
      </c>
      <c r="E4" s="44"/>
      <c r="F4" s="44"/>
    </row>
    <row r="5" spans="1:6">
      <c r="A5" s="34"/>
      <c r="B5" s="40" t="s">
        <v>73</v>
      </c>
      <c r="C5" s="34"/>
      <c r="D5" s="34">
        <f>D3*D4</f>
        <v>350</v>
      </c>
      <c r="E5" s="34"/>
      <c r="F5" s="34"/>
    </row>
    <row r="6" spans="1:6">
      <c r="A6" s="34"/>
      <c r="B6" s="40" t="s">
        <v>74</v>
      </c>
      <c r="C6" s="34"/>
      <c r="D6" s="34">
        <v>20</v>
      </c>
      <c r="E6" s="34"/>
      <c r="F6" s="34"/>
    </row>
    <row r="7" spans="1:6">
      <c r="A7" s="10" t="s">
        <v>84</v>
      </c>
      <c r="B7" t="s">
        <v>20</v>
      </c>
      <c r="D7">
        <f>D5*D6</f>
        <v>7000</v>
      </c>
    </row>
    <row r="9" spans="1:6">
      <c r="A9" s="6" t="s">
        <v>9</v>
      </c>
      <c r="B9" s="7">
        <v>120000</v>
      </c>
      <c r="C9" s="6"/>
      <c r="D9" s="6"/>
      <c r="E9" s="6"/>
      <c r="F9" s="6"/>
    </row>
    <row r="10" spans="1:6">
      <c r="A10" s="6" t="s">
        <v>75</v>
      </c>
      <c r="B10" s="7">
        <f>B9*20%</f>
        <v>24000</v>
      </c>
      <c r="C10" s="6"/>
      <c r="D10" s="6"/>
      <c r="E10" s="6"/>
      <c r="F10" s="6"/>
    </row>
    <row r="11" spans="1:6">
      <c r="A11" s="6" t="s">
        <v>10</v>
      </c>
      <c r="B11" s="7">
        <f>B9-B10</f>
        <v>96000</v>
      </c>
      <c r="C11" s="6"/>
      <c r="D11" s="6"/>
      <c r="E11" s="6"/>
      <c r="F11" s="6"/>
    </row>
    <row r="12" spans="1:6">
      <c r="A12" s="6" t="s">
        <v>11</v>
      </c>
      <c r="B12" s="7">
        <v>60</v>
      </c>
      <c r="C12" s="7">
        <f>B11/B12</f>
        <v>1600</v>
      </c>
      <c r="D12" s="6"/>
      <c r="E12" s="6"/>
      <c r="F12" s="6"/>
    </row>
    <row r="13" spans="1:6">
      <c r="A13" s="6" t="s">
        <v>13</v>
      </c>
      <c r="B13" s="15">
        <v>0.1275</v>
      </c>
      <c r="C13" s="8">
        <f>B9*B13/12</f>
        <v>1275</v>
      </c>
      <c r="D13" s="6"/>
      <c r="E13" s="6"/>
      <c r="F13" s="6"/>
    </row>
    <row r="15" spans="1:6">
      <c r="A15" s="1" t="s">
        <v>0</v>
      </c>
      <c r="B15" s="1" t="s">
        <v>8</v>
      </c>
      <c r="C15" s="1" t="s">
        <v>19</v>
      </c>
      <c r="D15" s="1" t="s">
        <v>1</v>
      </c>
    </row>
    <row r="16" spans="1:6">
      <c r="A16" s="2" t="s">
        <v>2</v>
      </c>
      <c r="B16" s="2">
        <v>6.7</v>
      </c>
      <c r="C16" s="2">
        <v>4.5</v>
      </c>
      <c r="D16" s="3">
        <f t="shared" ref="D16:D22" si="0">B16/C16</f>
        <v>1.4888888888888889</v>
      </c>
    </row>
    <row r="17" spans="1:4">
      <c r="A17" s="2" t="s">
        <v>6</v>
      </c>
      <c r="B17" s="3">
        <v>400</v>
      </c>
      <c r="C17" s="2">
        <f>D7</f>
        <v>7000</v>
      </c>
      <c r="D17" s="3">
        <f t="shared" si="0"/>
        <v>5.7142857142857141E-2</v>
      </c>
    </row>
    <row r="18" spans="1:4">
      <c r="A18" s="2" t="s">
        <v>87</v>
      </c>
      <c r="B18" s="3">
        <f>B9*2%</f>
        <v>2400</v>
      </c>
      <c r="C18" s="2">
        <f>C17*12</f>
        <v>84000</v>
      </c>
      <c r="D18" s="3">
        <f t="shared" si="0"/>
        <v>2.8571428571428571E-2</v>
      </c>
    </row>
    <row r="19" spans="1:4">
      <c r="A19" s="2" t="s">
        <v>3</v>
      </c>
      <c r="B19" s="3">
        <v>600</v>
      </c>
      <c r="C19" s="2">
        <f>C17</f>
        <v>7000</v>
      </c>
      <c r="D19" s="3">
        <f t="shared" si="0"/>
        <v>8.5714285714285715E-2</v>
      </c>
    </row>
    <row r="20" spans="1:4">
      <c r="A20" s="2" t="s">
        <v>24</v>
      </c>
      <c r="B20" s="3">
        <f>4*950</f>
        <v>3800</v>
      </c>
      <c r="C20" s="2">
        <v>70000</v>
      </c>
      <c r="D20" s="3">
        <f t="shared" si="0"/>
        <v>5.4285714285714284E-2</v>
      </c>
    </row>
    <row r="21" spans="1:4">
      <c r="A21" s="2" t="s">
        <v>23</v>
      </c>
      <c r="B21" s="3">
        <v>250</v>
      </c>
      <c r="C21" s="2">
        <f>C19</f>
        <v>7000</v>
      </c>
      <c r="D21" s="3">
        <f t="shared" si="0"/>
        <v>3.5714285714285712E-2</v>
      </c>
    </row>
    <row r="22" spans="1:4">
      <c r="A22" s="2" t="s">
        <v>4</v>
      </c>
      <c r="B22" s="3">
        <f>I70</f>
        <v>3825.4094949494952</v>
      </c>
      <c r="C22" s="2">
        <f>C19</f>
        <v>7000</v>
      </c>
      <c r="D22" s="3">
        <f t="shared" si="0"/>
        <v>0.5464870707070707</v>
      </c>
    </row>
    <row r="23" spans="1:4">
      <c r="A23" s="2" t="s">
        <v>12</v>
      </c>
      <c r="B23" s="3">
        <f>C12</f>
        <v>1600</v>
      </c>
      <c r="C23" s="2">
        <f>C22</f>
        <v>7000</v>
      </c>
      <c r="D23" s="3">
        <f t="shared" ref="D23:D24" si="1">B23/C23</f>
        <v>0.22857142857142856</v>
      </c>
    </row>
    <row r="24" spans="1:4">
      <c r="A24" s="2" t="s">
        <v>14</v>
      </c>
      <c r="B24" s="9">
        <f>C13</f>
        <v>1275</v>
      </c>
      <c r="C24" s="2">
        <f>C23</f>
        <v>7000</v>
      </c>
      <c r="D24" s="3">
        <f t="shared" si="1"/>
        <v>0.18214285714285713</v>
      </c>
    </row>
    <row r="25" spans="1:4">
      <c r="A25" s="4" t="s">
        <v>21</v>
      </c>
      <c r="B25" s="4"/>
      <c r="C25" s="4" t="s">
        <v>5</v>
      </c>
      <c r="D25" s="5">
        <f>SUM(D16:D24)</f>
        <v>2.7075188167388164</v>
      </c>
    </row>
    <row r="27" spans="1:4">
      <c r="A27" s="2" t="s">
        <v>17</v>
      </c>
      <c r="B27" s="2"/>
      <c r="C27" s="11">
        <v>0.15</v>
      </c>
      <c r="D27" s="9">
        <f>D25*C27</f>
        <v>0.40612782251082247</v>
      </c>
    </row>
    <row r="28" spans="1:4">
      <c r="A28" s="2" t="s">
        <v>18</v>
      </c>
      <c r="B28" s="2"/>
      <c r="C28" s="11">
        <v>0.15</v>
      </c>
      <c r="D28" s="9">
        <f>D25*C28</f>
        <v>0.40612782251082247</v>
      </c>
    </row>
    <row r="29" spans="1:4">
      <c r="A29" s="12" t="s">
        <v>15</v>
      </c>
      <c r="B29" s="12"/>
      <c r="C29" s="12"/>
      <c r="D29" s="13">
        <f>D28+D27+D25</f>
        <v>3.5197744617604614</v>
      </c>
    </row>
    <row r="30" spans="1:4">
      <c r="A30" s="2" t="s">
        <v>16</v>
      </c>
      <c r="B30" s="2"/>
      <c r="C30" s="14">
        <v>3.6499999999999998E-2</v>
      </c>
      <c r="D30" s="9">
        <f>D29*C30</f>
        <v>0.12847176785425682</v>
      </c>
    </row>
    <row r="31" spans="1:4">
      <c r="A31" s="2" t="s">
        <v>96</v>
      </c>
      <c r="B31" s="2"/>
      <c r="C31" s="11"/>
      <c r="D31" s="9"/>
    </row>
    <row r="32" spans="1:4">
      <c r="A32" s="2" t="s">
        <v>97</v>
      </c>
      <c r="B32" s="2"/>
      <c r="C32" s="11">
        <v>0.12</v>
      </c>
      <c r="D32" s="9">
        <f>D29*C32</f>
        <v>0.42237293541125537</v>
      </c>
    </row>
    <row r="33" spans="1:9">
      <c r="A33" s="12" t="s">
        <v>22</v>
      </c>
      <c r="B33" s="12"/>
      <c r="C33" s="12"/>
      <c r="D33" s="13">
        <f>D29+D30+D32</f>
        <v>4.070619165025974</v>
      </c>
    </row>
    <row r="35" spans="1:9">
      <c r="A35" s="12" t="s">
        <v>81</v>
      </c>
      <c r="B35" s="2"/>
      <c r="C35" s="12" t="s">
        <v>82</v>
      </c>
      <c r="D35" s="12" t="s">
        <v>83</v>
      </c>
    </row>
    <row r="36" spans="1:9">
      <c r="A36" s="41" t="s">
        <v>76</v>
      </c>
      <c r="B36" s="2"/>
      <c r="C36" s="2">
        <f>63.8*2</f>
        <v>127.6</v>
      </c>
      <c r="D36" s="9">
        <f>C36*D$33</f>
        <v>519.41100545731422</v>
      </c>
    </row>
    <row r="37" spans="1:9">
      <c r="A37" s="41" t="s">
        <v>77</v>
      </c>
      <c r="B37" s="2"/>
      <c r="C37" s="2">
        <f>389*2</f>
        <v>778</v>
      </c>
      <c r="D37" s="9">
        <f t="shared" ref="D37:D40" si="2">C37*D$33</f>
        <v>3166.9417103902078</v>
      </c>
    </row>
    <row r="38" spans="1:9">
      <c r="A38" s="41" t="s">
        <v>78</v>
      </c>
      <c r="B38" s="2"/>
      <c r="C38" s="2">
        <f>138*2</f>
        <v>276</v>
      </c>
      <c r="D38" s="9">
        <f t="shared" si="2"/>
        <v>1123.4908895471688</v>
      </c>
    </row>
    <row r="39" spans="1:9">
      <c r="A39" s="41" t="s">
        <v>79</v>
      </c>
      <c r="B39" s="2"/>
      <c r="C39" s="2">
        <f>245*2</f>
        <v>490</v>
      </c>
      <c r="D39" s="9">
        <f t="shared" si="2"/>
        <v>1994.6033908627273</v>
      </c>
    </row>
    <row r="40" spans="1:9">
      <c r="A40" s="42" t="s">
        <v>80</v>
      </c>
      <c r="B40" s="2"/>
      <c r="C40" s="2">
        <f>105*2</f>
        <v>210</v>
      </c>
      <c r="D40" s="9">
        <f t="shared" si="2"/>
        <v>854.83002465545451</v>
      </c>
    </row>
    <row r="43" spans="1:9" ht="31.5" customHeight="1">
      <c r="A43" s="61" t="s">
        <v>89</v>
      </c>
      <c r="B43" s="61"/>
      <c r="C43" s="61"/>
      <c r="D43" s="61"/>
      <c r="E43" s="61"/>
      <c r="F43" s="61"/>
      <c r="G43" s="61"/>
      <c r="H43" s="61"/>
      <c r="I43" s="61"/>
    </row>
    <row r="44" spans="1:9">
      <c r="A44" s="10" t="s">
        <v>58</v>
      </c>
      <c r="D44" s="16"/>
    </row>
    <row r="45" spans="1:9">
      <c r="A45" s="12" t="s">
        <v>90</v>
      </c>
      <c r="B45" s="2"/>
      <c r="C45" s="3">
        <v>2104.81</v>
      </c>
      <c r="D45" s="9">
        <v>220</v>
      </c>
    </row>
    <row r="46" spans="1:9">
      <c r="A46" s="2" t="s">
        <v>91</v>
      </c>
      <c r="B46" s="2"/>
      <c r="C46" s="3">
        <f>C45/D45*200</f>
        <v>1913.4636363636364</v>
      </c>
      <c r="D46" s="9"/>
    </row>
    <row r="47" spans="1:9">
      <c r="A47" s="2" t="s">
        <v>48</v>
      </c>
      <c r="B47" s="11">
        <v>0.2</v>
      </c>
      <c r="C47" s="9">
        <f>C46*B47</f>
        <v>382.69272727272732</v>
      </c>
      <c r="D47" s="2"/>
    </row>
    <row r="48" spans="1:9">
      <c r="A48" s="31" t="s">
        <v>56</v>
      </c>
      <c r="B48" s="11"/>
      <c r="C48" s="9"/>
      <c r="D48" s="13">
        <f>C47+C46</f>
        <v>2296.1563636363635</v>
      </c>
    </row>
    <row r="49" spans="1:9">
      <c r="A49" s="2" t="s">
        <v>49</v>
      </c>
      <c r="B49" s="2">
        <v>20</v>
      </c>
      <c r="C49" s="3">
        <v>9.4</v>
      </c>
      <c r="D49" s="3">
        <f>C49*B49</f>
        <v>188</v>
      </c>
    </row>
    <row r="50" spans="1:9">
      <c r="A50" s="2" t="s">
        <v>50</v>
      </c>
      <c r="B50" s="2">
        <v>1</v>
      </c>
      <c r="C50" s="3">
        <v>242.03</v>
      </c>
      <c r="D50" s="3">
        <f>B50*C50</f>
        <v>242.03</v>
      </c>
    </row>
    <row r="51" spans="1:9">
      <c r="A51" s="2" t="s">
        <v>92</v>
      </c>
      <c r="B51" s="2"/>
      <c r="C51" s="43">
        <v>0.1</v>
      </c>
      <c r="D51" s="3">
        <f>-D50*C51</f>
        <v>-24.203000000000003</v>
      </c>
    </row>
    <row r="52" spans="1:9">
      <c r="A52" s="2" t="s">
        <v>93</v>
      </c>
      <c r="B52" s="2"/>
      <c r="C52" s="43">
        <v>0.06</v>
      </c>
      <c r="D52" s="3">
        <f>-C46*C52</f>
        <v>-114.80781818181818</v>
      </c>
    </row>
    <row r="53" spans="1:9">
      <c r="A53" s="12" t="s">
        <v>51</v>
      </c>
      <c r="B53" s="12"/>
      <c r="C53" s="12"/>
      <c r="D53" s="13">
        <f>SUM(D48:D52)</f>
        <v>2587.1755454545455</v>
      </c>
    </row>
    <row r="54" spans="1:9">
      <c r="A54" s="2" t="s">
        <v>52</v>
      </c>
      <c r="B54" s="2"/>
      <c r="C54" s="2"/>
      <c r="D54" s="9">
        <f>D53/12</f>
        <v>215.59796212121213</v>
      </c>
    </row>
    <row r="55" spans="1:9">
      <c r="A55" s="2" t="s">
        <v>53</v>
      </c>
      <c r="B55" s="2"/>
      <c r="C55" s="2"/>
      <c r="D55" s="3">
        <f>(D53/3)/12</f>
        <v>71.865987373737383</v>
      </c>
    </row>
    <row r="56" spans="1:9">
      <c r="A56" s="12" t="s">
        <v>54</v>
      </c>
      <c r="B56" s="12"/>
      <c r="C56" s="12"/>
      <c r="D56" s="30">
        <f>D55+D54+D53</f>
        <v>2874.6394949494952</v>
      </c>
      <c r="E56" s="10" t="s">
        <v>55</v>
      </c>
      <c r="F56" s="10"/>
      <c r="G56" s="10"/>
      <c r="H56" s="10"/>
      <c r="I56" s="29">
        <f>D48+D54+D55</f>
        <v>2583.6203131313132</v>
      </c>
    </row>
    <row r="58" spans="1:9" ht="30">
      <c r="A58" s="17" t="s">
        <v>25</v>
      </c>
      <c r="B58" s="58" t="s">
        <v>26</v>
      </c>
      <c r="C58" s="59"/>
      <c r="D58" s="59"/>
      <c r="E58" s="59"/>
      <c r="F58" s="59"/>
      <c r="G58" s="60"/>
      <c r="H58" s="18" t="s">
        <v>27</v>
      </c>
      <c r="I58" s="18" t="s">
        <v>28</v>
      </c>
    </row>
    <row r="59" spans="1:9">
      <c r="A59" s="19" t="s">
        <v>29</v>
      </c>
      <c r="B59" s="49" t="s">
        <v>30</v>
      </c>
      <c r="C59" s="50"/>
      <c r="D59" s="50"/>
      <c r="E59" s="50"/>
      <c r="F59" s="50"/>
      <c r="G59" s="51"/>
      <c r="H59" s="20">
        <v>0.2</v>
      </c>
      <c r="I59" s="21">
        <f>$I$56*H59</f>
        <v>516.72406262626271</v>
      </c>
    </row>
    <row r="60" spans="1:9">
      <c r="A60" s="19" t="s">
        <v>31</v>
      </c>
      <c r="B60" s="49" t="s">
        <v>32</v>
      </c>
      <c r="C60" s="50"/>
      <c r="D60" s="50"/>
      <c r="E60" s="50"/>
      <c r="F60" s="50"/>
      <c r="G60" s="51"/>
      <c r="H60" s="20">
        <v>1.4999999999999999E-2</v>
      </c>
      <c r="I60" s="21">
        <f t="shared" ref="I60:I66" si="3">$I$56*H60</f>
        <v>38.754304696969697</v>
      </c>
    </row>
    <row r="61" spans="1:9">
      <c r="A61" s="19" t="s">
        <v>33</v>
      </c>
      <c r="B61" s="49" t="s">
        <v>34</v>
      </c>
      <c r="C61" s="50"/>
      <c r="D61" s="50"/>
      <c r="E61" s="50"/>
      <c r="F61" s="50"/>
      <c r="G61" s="51"/>
      <c r="H61" s="20">
        <v>0.01</v>
      </c>
      <c r="I61" s="21">
        <f t="shared" si="3"/>
        <v>25.836203131313134</v>
      </c>
    </row>
    <row r="62" spans="1:9">
      <c r="A62" s="19" t="s">
        <v>35</v>
      </c>
      <c r="B62" s="49" t="s">
        <v>36</v>
      </c>
      <c r="C62" s="50"/>
      <c r="D62" s="50"/>
      <c r="E62" s="50"/>
      <c r="F62" s="50"/>
      <c r="G62" s="51"/>
      <c r="H62" s="20">
        <v>2E-3</v>
      </c>
      <c r="I62" s="21">
        <f t="shared" si="3"/>
        <v>5.1672406262626263</v>
      </c>
    </row>
    <row r="63" spans="1:9">
      <c r="A63" s="19" t="s">
        <v>37</v>
      </c>
      <c r="B63" s="52" t="s">
        <v>38</v>
      </c>
      <c r="C63" s="53"/>
      <c r="D63" s="53"/>
      <c r="E63" s="53"/>
      <c r="F63" s="53"/>
      <c r="G63" s="54"/>
      <c r="H63" s="20">
        <v>2.5000000000000001E-2</v>
      </c>
      <c r="I63" s="21">
        <f t="shared" si="3"/>
        <v>64.590507828282838</v>
      </c>
    </row>
    <row r="64" spans="1:9">
      <c r="A64" s="19" t="s">
        <v>39</v>
      </c>
      <c r="B64" s="52" t="s">
        <v>40</v>
      </c>
      <c r="C64" s="53"/>
      <c r="D64" s="53"/>
      <c r="E64" s="53"/>
      <c r="F64" s="53"/>
      <c r="G64" s="54"/>
      <c r="H64" s="22">
        <v>0.08</v>
      </c>
      <c r="I64" s="21">
        <f t="shared" si="3"/>
        <v>206.68962505050507</v>
      </c>
    </row>
    <row r="65" spans="1:9">
      <c r="A65" s="19" t="s">
        <v>41</v>
      </c>
      <c r="B65" s="55" t="s">
        <v>42</v>
      </c>
      <c r="C65" s="56"/>
      <c r="D65" s="23" t="s">
        <v>43</v>
      </c>
      <c r="E65" s="24">
        <v>0.03</v>
      </c>
      <c r="F65" s="23" t="s">
        <v>44</v>
      </c>
      <c r="G65" s="25">
        <v>1</v>
      </c>
      <c r="H65" s="26">
        <f>ROUND((E65*G65),6)</f>
        <v>0.03</v>
      </c>
      <c r="I65" s="21">
        <f t="shared" si="3"/>
        <v>77.508609393939395</v>
      </c>
    </row>
    <row r="66" spans="1:9">
      <c r="A66" s="19" t="s">
        <v>45</v>
      </c>
      <c r="B66" s="52" t="s">
        <v>46</v>
      </c>
      <c r="C66" s="53"/>
      <c r="D66" s="53"/>
      <c r="E66" s="53"/>
      <c r="F66" s="53"/>
      <c r="G66" s="54"/>
      <c r="H66" s="20">
        <v>6.0000000000000001E-3</v>
      </c>
      <c r="I66" s="21">
        <f t="shared" si="3"/>
        <v>15.50172187878788</v>
      </c>
    </row>
    <row r="67" spans="1:9">
      <c r="A67" s="46" t="s">
        <v>47</v>
      </c>
      <c r="B67" s="47"/>
      <c r="C67" s="47"/>
      <c r="D67" s="47"/>
      <c r="E67" s="47"/>
      <c r="F67" s="47"/>
      <c r="G67" s="48"/>
      <c r="H67" s="27">
        <f>SUM(H59:H66)</f>
        <v>0.3680000000000001</v>
      </c>
      <c r="I67" s="28">
        <f>TRUNC(SUM(I59:I66),2)</f>
        <v>950.77</v>
      </c>
    </row>
    <row r="69" spans="1:9">
      <c r="A69" s="32" t="s">
        <v>59</v>
      </c>
      <c r="B69" s="2"/>
      <c r="C69" s="2"/>
      <c r="D69" s="2"/>
      <c r="E69" s="2"/>
      <c r="F69" s="2"/>
      <c r="G69" s="2"/>
      <c r="H69" s="2"/>
      <c r="I69" s="13">
        <f>D56+I67</f>
        <v>3825.4094949494952</v>
      </c>
    </row>
    <row r="70" spans="1:9">
      <c r="A70" s="33" t="s">
        <v>57</v>
      </c>
      <c r="B70" s="2"/>
      <c r="C70" s="2"/>
      <c r="D70" s="2"/>
      <c r="E70" s="2"/>
      <c r="F70" s="2"/>
      <c r="G70" s="2"/>
      <c r="H70" s="11">
        <v>1</v>
      </c>
      <c r="I70" s="13">
        <f>I69*H70</f>
        <v>3825.4094949494952</v>
      </c>
    </row>
    <row r="74" spans="1:9">
      <c r="A74" s="35" t="s">
        <v>60</v>
      </c>
    </row>
    <row r="75" spans="1:9">
      <c r="A75" s="36" t="s">
        <v>61</v>
      </c>
    </row>
    <row r="76" spans="1:9">
      <c r="A76" s="36" t="s">
        <v>62</v>
      </c>
    </row>
    <row r="77" spans="1:9">
      <c r="A77" s="36" t="s">
        <v>63</v>
      </c>
    </row>
    <row r="78" spans="1:9">
      <c r="A78" s="36" t="s">
        <v>64</v>
      </c>
    </row>
    <row r="79" spans="1:9">
      <c r="A79" s="36"/>
    </row>
    <row r="80" spans="1:9">
      <c r="A80" s="36"/>
    </row>
    <row r="81" spans="1:1">
      <c r="A81" s="36"/>
    </row>
    <row r="82" spans="1:1">
      <c r="A82" s="37" t="s">
        <v>65</v>
      </c>
    </row>
    <row r="83" spans="1:1">
      <c r="A83" s="38" t="s">
        <v>66</v>
      </c>
    </row>
    <row r="84" spans="1:1">
      <c r="A84" s="38" t="s">
        <v>67</v>
      </c>
    </row>
    <row r="85" spans="1:1">
      <c r="A85" s="38" t="s">
        <v>68</v>
      </c>
    </row>
    <row r="86" spans="1:1">
      <c r="A86" s="38" t="s">
        <v>69</v>
      </c>
    </row>
    <row r="87" spans="1:1">
      <c r="A87" s="38" t="s">
        <v>70</v>
      </c>
    </row>
    <row r="88" spans="1:1">
      <c r="A88" s="38" t="s">
        <v>71</v>
      </c>
    </row>
    <row r="89" spans="1:1">
      <c r="A89" s="39" t="s">
        <v>72</v>
      </c>
    </row>
  </sheetData>
  <mergeCells count="12">
    <mergeCell ref="A1:F1"/>
    <mergeCell ref="B58:G58"/>
    <mergeCell ref="B59:G59"/>
    <mergeCell ref="B60:G60"/>
    <mergeCell ref="B61:G61"/>
    <mergeCell ref="A43:I43"/>
    <mergeCell ref="A67:G67"/>
    <mergeCell ref="B62:G62"/>
    <mergeCell ref="B63:G63"/>
    <mergeCell ref="B64:G64"/>
    <mergeCell ref="B65:C65"/>
    <mergeCell ref="B66:G6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opLeftCell="A19" workbookViewId="0">
      <selection activeCell="D33" sqref="D33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>
      <c r="A1" s="57" t="s">
        <v>7</v>
      </c>
      <c r="B1" s="57"/>
      <c r="C1" s="57"/>
      <c r="D1" s="57"/>
      <c r="E1" s="57"/>
      <c r="F1" s="57"/>
    </row>
    <row r="2" spans="1:6">
      <c r="A2" s="44"/>
      <c r="B2" s="44"/>
      <c r="C2" s="44"/>
      <c r="D2" s="44"/>
      <c r="E2" s="44"/>
      <c r="F2" s="44"/>
    </row>
    <row r="3" spans="1:6">
      <c r="A3" s="44"/>
      <c r="B3" s="45" t="s">
        <v>95</v>
      </c>
      <c r="C3" s="44"/>
      <c r="D3" s="44">
        <v>7</v>
      </c>
      <c r="E3" s="44"/>
      <c r="F3" s="44"/>
    </row>
    <row r="4" spans="1:6">
      <c r="A4" s="34"/>
      <c r="B4" s="45" t="s">
        <v>94</v>
      </c>
      <c r="C4" s="44"/>
      <c r="D4" s="44">
        <v>50</v>
      </c>
      <c r="E4" s="34"/>
      <c r="F4" s="34"/>
    </row>
    <row r="5" spans="1:6">
      <c r="A5" s="34"/>
      <c r="B5" s="40" t="s">
        <v>73</v>
      </c>
      <c r="C5" s="34"/>
      <c r="D5" s="34">
        <f>D4*D3</f>
        <v>350</v>
      </c>
      <c r="E5" s="34"/>
      <c r="F5" s="34"/>
    </row>
    <row r="6" spans="1:6">
      <c r="A6" s="34"/>
      <c r="B6" s="40" t="s">
        <v>74</v>
      </c>
      <c r="C6" s="34"/>
      <c r="D6" s="34">
        <v>20</v>
      </c>
      <c r="E6" s="34"/>
      <c r="F6" s="34"/>
    </row>
    <row r="7" spans="1:6">
      <c r="A7" s="10" t="s">
        <v>85</v>
      </c>
      <c r="B7" t="s">
        <v>20</v>
      </c>
      <c r="D7">
        <f>D5*D6</f>
        <v>7000</v>
      </c>
    </row>
    <row r="9" spans="1:6">
      <c r="A9" s="34" t="s">
        <v>9</v>
      </c>
      <c r="B9" s="7">
        <v>200000</v>
      </c>
      <c r="C9" s="34"/>
      <c r="D9" s="34"/>
      <c r="E9" s="34"/>
      <c r="F9" s="34"/>
    </row>
    <row r="10" spans="1:6">
      <c r="A10" s="34" t="s">
        <v>75</v>
      </c>
      <c r="B10" s="7">
        <f>B9*20%</f>
        <v>40000</v>
      </c>
      <c r="C10" s="34"/>
      <c r="D10" s="34"/>
      <c r="E10" s="34"/>
      <c r="F10" s="34"/>
    </row>
    <row r="11" spans="1:6">
      <c r="A11" s="34" t="s">
        <v>10</v>
      </c>
      <c r="B11" s="7">
        <f>B9-B10</f>
        <v>160000</v>
      </c>
      <c r="C11" s="34"/>
      <c r="D11" s="34"/>
      <c r="E11" s="34"/>
      <c r="F11" s="34"/>
    </row>
    <row r="12" spans="1:6">
      <c r="A12" s="34" t="s">
        <v>11</v>
      </c>
      <c r="B12" s="7">
        <v>60</v>
      </c>
      <c r="C12" s="7">
        <f>B11/B12</f>
        <v>2666.6666666666665</v>
      </c>
      <c r="D12" s="34"/>
      <c r="E12" s="34"/>
      <c r="F12" s="34"/>
    </row>
    <row r="13" spans="1:6">
      <c r="A13" s="34" t="s">
        <v>13</v>
      </c>
      <c r="B13" s="15">
        <v>0.1275</v>
      </c>
      <c r="C13" s="8">
        <f>B9*B13/12</f>
        <v>2125</v>
      </c>
      <c r="D13" s="34"/>
      <c r="E13" s="34"/>
      <c r="F13" s="34"/>
    </row>
    <row r="15" spans="1:6">
      <c r="A15" s="1" t="s">
        <v>0</v>
      </c>
      <c r="B15" s="1" t="s">
        <v>8</v>
      </c>
      <c r="C15" s="1" t="s">
        <v>19</v>
      </c>
      <c r="D15" s="1" t="s">
        <v>1</v>
      </c>
    </row>
    <row r="16" spans="1:6">
      <c r="A16" s="2" t="s">
        <v>2</v>
      </c>
      <c r="B16" s="2">
        <v>6.7</v>
      </c>
      <c r="C16" s="2">
        <v>4</v>
      </c>
      <c r="D16" s="3">
        <f t="shared" ref="D16:D24" si="0">B16/C16</f>
        <v>1.675</v>
      </c>
    </row>
    <row r="17" spans="1:4">
      <c r="A17" s="2" t="s">
        <v>6</v>
      </c>
      <c r="B17" s="3">
        <v>450</v>
      </c>
      <c r="C17" s="2">
        <f>D7</f>
        <v>7000</v>
      </c>
      <c r="D17" s="3">
        <f t="shared" si="0"/>
        <v>6.4285714285714279E-2</v>
      </c>
    </row>
    <row r="18" spans="1:4">
      <c r="A18" s="2" t="s">
        <v>87</v>
      </c>
      <c r="B18" s="3">
        <f>B9*2%</f>
        <v>4000</v>
      </c>
      <c r="C18" s="2">
        <f>C17*12</f>
        <v>84000</v>
      </c>
      <c r="D18" s="3">
        <f t="shared" si="0"/>
        <v>4.7619047619047616E-2</v>
      </c>
    </row>
    <row r="19" spans="1:4">
      <c r="A19" s="2" t="s">
        <v>3</v>
      </c>
      <c r="B19" s="3">
        <v>700</v>
      </c>
      <c r="C19" s="2">
        <f>C17</f>
        <v>7000</v>
      </c>
      <c r="D19" s="3">
        <f t="shared" si="0"/>
        <v>0.1</v>
      </c>
    </row>
    <row r="20" spans="1:4">
      <c r="A20" s="2" t="s">
        <v>86</v>
      </c>
      <c r="B20" s="3">
        <f>6*1150</f>
        <v>6900</v>
      </c>
      <c r="C20" s="2">
        <v>70000</v>
      </c>
      <c r="D20" s="3">
        <f t="shared" si="0"/>
        <v>9.8571428571428574E-2</v>
      </c>
    </row>
    <row r="21" spans="1:4">
      <c r="A21" s="2" t="s">
        <v>23</v>
      </c>
      <c r="B21" s="3">
        <v>350</v>
      </c>
      <c r="C21" s="2">
        <f>C19</f>
        <v>7000</v>
      </c>
      <c r="D21" s="3">
        <f t="shared" si="0"/>
        <v>0.05</v>
      </c>
    </row>
    <row r="22" spans="1:4">
      <c r="A22" s="2" t="s">
        <v>4</v>
      </c>
      <c r="B22" s="3">
        <f>I70</f>
        <v>3825.4094949494952</v>
      </c>
      <c r="C22" s="2">
        <f>C19</f>
        <v>7000</v>
      </c>
      <c r="D22" s="3">
        <f t="shared" si="0"/>
        <v>0.5464870707070707</v>
      </c>
    </row>
    <row r="23" spans="1:4">
      <c r="A23" s="2" t="s">
        <v>12</v>
      </c>
      <c r="B23" s="3">
        <f>C12</f>
        <v>2666.6666666666665</v>
      </c>
      <c r="C23" s="2">
        <f>C22</f>
        <v>7000</v>
      </c>
      <c r="D23" s="3">
        <f t="shared" si="0"/>
        <v>0.38095238095238093</v>
      </c>
    </row>
    <row r="24" spans="1:4">
      <c r="A24" s="2" t="s">
        <v>14</v>
      </c>
      <c r="B24" s="9">
        <f>C13</f>
        <v>2125</v>
      </c>
      <c r="C24" s="2">
        <f>C23</f>
        <v>7000</v>
      </c>
      <c r="D24" s="3">
        <f t="shared" si="0"/>
        <v>0.30357142857142855</v>
      </c>
    </row>
    <row r="25" spans="1:4">
      <c r="A25" s="4" t="s">
        <v>21</v>
      </c>
      <c r="B25" s="4"/>
      <c r="C25" s="4" t="s">
        <v>5</v>
      </c>
      <c r="D25" s="5">
        <f>SUM(D16:D24)</f>
        <v>3.2664870707070706</v>
      </c>
    </row>
    <row r="27" spans="1:4">
      <c r="A27" s="2" t="s">
        <v>17</v>
      </c>
      <c r="B27" s="2"/>
      <c r="C27" s="11">
        <v>0.15</v>
      </c>
      <c r="D27" s="9">
        <f>D25*C27</f>
        <v>0.48997306060606055</v>
      </c>
    </row>
    <row r="28" spans="1:4">
      <c r="A28" s="2" t="s">
        <v>18</v>
      </c>
      <c r="B28" s="2"/>
      <c r="C28" s="11">
        <v>0.15</v>
      </c>
      <c r="D28" s="9">
        <f>D25*C28</f>
        <v>0.48997306060606055</v>
      </c>
    </row>
    <row r="29" spans="1:4">
      <c r="A29" s="12" t="s">
        <v>15</v>
      </c>
      <c r="B29" s="12"/>
      <c r="C29" s="12"/>
      <c r="D29" s="13">
        <f>D28+D27+D25</f>
        <v>4.2464331919191913</v>
      </c>
    </row>
    <row r="30" spans="1:4">
      <c r="A30" s="2" t="s">
        <v>16</v>
      </c>
      <c r="B30" s="2"/>
      <c r="C30" s="14">
        <v>3.6499999999999998E-2</v>
      </c>
      <c r="D30" s="9">
        <f>D29*C30</f>
        <v>0.15499481150505048</v>
      </c>
    </row>
    <row r="31" spans="1:4">
      <c r="A31" s="2" t="s">
        <v>96</v>
      </c>
      <c r="B31" s="2"/>
      <c r="C31" s="11"/>
      <c r="D31" s="9"/>
    </row>
    <row r="32" spans="1:4">
      <c r="A32" s="2" t="s">
        <v>97</v>
      </c>
      <c r="B32" s="2"/>
      <c r="C32" s="11">
        <v>0.12</v>
      </c>
      <c r="D32" s="9">
        <f>D29*C32</f>
        <v>0.50957198303030293</v>
      </c>
    </row>
    <row r="33" spans="1:9">
      <c r="A33" s="12" t="s">
        <v>22</v>
      </c>
      <c r="B33" s="12"/>
      <c r="C33" s="12"/>
      <c r="D33" s="13">
        <f>D29+D30+D32</f>
        <v>4.9109999864545442</v>
      </c>
    </row>
    <row r="35" spans="1:9">
      <c r="A35" s="12" t="s">
        <v>81</v>
      </c>
      <c r="B35" s="2"/>
      <c r="C35" s="12" t="s">
        <v>82</v>
      </c>
      <c r="D35" s="12" t="s">
        <v>83</v>
      </c>
    </row>
    <row r="36" spans="1:9">
      <c r="A36" s="41" t="s">
        <v>76</v>
      </c>
      <c r="B36" s="2"/>
      <c r="C36" s="2">
        <f>63.8*2</f>
        <v>127.6</v>
      </c>
      <c r="D36" s="9">
        <f>C36*D$33</f>
        <v>626.64359827159979</v>
      </c>
    </row>
    <row r="37" spans="1:9">
      <c r="A37" s="41" t="s">
        <v>77</v>
      </c>
      <c r="B37" s="2"/>
      <c r="C37" s="2">
        <f>389*2</f>
        <v>778</v>
      </c>
      <c r="D37" s="9">
        <f t="shared" ref="D37:D40" si="1">C37*D$33</f>
        <v>3820.7579894616351</v>
      </c>
    </row>
    <row r="38" spans="1:9">
      <c r="A38" s="41" t="s">
        <v>78</v>
      </c>
      <c r="B38" s="2"/>
      <c r="C38" s="2">
        <f>138*2</f>
        <v>276</v>
      </c>
      <c r="D38" s="9">
        <f t="shared" si="1"/>
        <v>1355.4359962614542</v>
      </c>
    </row>
    <row r="39" spans="1:9">
      <c r="A39" s="41" t="s">
        <v>79</v>
      </c>
      <c r="B39" s="2"/>
      <c r="C39" s="2">
        <f>245*2</f>
        <v>490</v>
      </c>
      <c r="D39" s="9">
        <f t="shared" si="1"/>
        <v>2406.3899933627267</v>
      </c>
    </row>
    <row r="40" spans="1:9">
      <c r="A40" s="42" t="s">
        <v>80</v>
      </c>
      <c r="B40" s="2"/>
      <c r="C40" s="2">
        <f>105*2</f>
        <v>210</v>
      </c>
      <c r="D40" s="9">
        <f t="shared" si="1"/>
        <v>1031.3099971554543</v>
      </c>
    </row>
    <row r="43" spans="1:9" ht="28.5" customHeight="1">
      <c r="A43" s="61" t="s">
        <v>89</v>
      </c>
      <c r="B43" s="61"/>
      <c r="C43" s="61"/>
      <c r="D43" s="61"/>
      <c r="E43" s="61"/>
      <c r="F43" s="61"/>
      <c r="G43" s="61"/>
      <c r="H43" s="61"/>
      <c r="I43" s="61"/>
    </row>
    <row r="44" spans="1:9">
      <c r="A44" s="10" t="s">
        <v>58</v>
      </c>
      <c r="D44" s="16"/>
    </row>
    <row r="45" spans="1:9">
      <c r="A45" s="12" t="s">
        <v>90</v>
      </c>
      <c r="B45" s="2"/>
      <c r="C45" s="3">
        <v>2104.81</v>
      </c>
      <c r="D45" s="9">
        <v>220</v>
      </c>
    </row>
    <row r="46" spans="1:9">
      <c r="A46" s="2" t="s">
        <v>91</v>
      </c>
      <c r="B46" s="2"/>
      <c r="C46" s="3">
        <f>C45/D45*200</f>
        <v>1913.4636363636364</v>
      </c>
      <c r="D46" s="9"/>
    </row>
    <row r="47" spans="1:9">
      <c r="A47" s="2" t="s">
        <v>48</v>
      </c>
      <c r="B47" s="11">
        <v>0.2</v>
      </c>
      <c r="C47" s="9">
        <f>C46*B47</f>
        <v>382.69272727272732</v>
      </c>
      <c r="D47" s="2"/>
    </row>
    <row r="48" spans="1:9">
      <c r="A48" s="31" t="s">
        <v>56</v>
      </c>
      <c r="B48" s="11"/>
      <c r="C48" s="9"/>
      <c r="D48" s="13">
        <f>C47+C46</f>
        <v>2296.1563636363635</v>
      </c>
    </row>
    <row r="49" spans="1:9">
      <c r="A49" s="2" t="s">
        <v>49</v>
      </c>
      <c r="B49" s="2">
        <v>20</v>
      </c>
      <c r="C49" s="3">
        <v>9.4</v>
      </c>
      <c r="D49" s="3">
        <f>C49*B49</f>
        <v>188</v>
      </c>
    </row>
    <row r="50" spans="1:9">
      <c r="A50" s="2" t="s">
        <v>50</v>
      </c>
      <c r="B50" s="2">
        <v>1</v>
      </c>
      <c r="C50" s="3">
        <v>242.03</v>
      </c>
      <c r="D50" s="3">
        <f>B50*C50</f>
        <v>242.03</v>
      </c>
    </row>
    <row r="51" spans="1:9">
      <c r="A51" s="2" t="s">
        <v>92</v>
      </c>
      <c r="B51" s="2"/>
      <c r="C51" s="43">
        <v>0.1</v>
      </c>
      <c r="D51" s="3">
        <f>-D50*C51</f>
        <v>-24.203000000000003</v>
      </c>
    </row>
    <row r="52" spans="1:9">
      <c r="A52" s="2" t="s">
        <v>93</v>
      </c>
      <c r="B52" s="2"/>
      <c r="C52" s="43">
        <v>0.06</v>
      </c>
      <c r="D52" s="3">
        <f>-C46*C52</f>
        <v>-114.80781818181818</v>
      </c>
    </row>
    <row r="53" spans="1:9">
      <c r="A53" s="12" t="s">
        <v>51</v>
      </c>
      <c r="B53" s="12"/>
      <c r="C53" s="12"/>
      <c r="D53" s="13">
        <f>SUM(D48:D52)</f>
        <v>2587.1755454545455</v>
      </c>
    </row>
    <row r="54" spans="1:9">
      <c r="A54" s="2" t="s">
        <v>52</v>
      </c>
      <c r="B54" s="2"/>
      <c r="C54" s="2"/>
      <c r="D54" s="9">
        <f>D53/12</f>
        <v>215.59796212121213</v>
      </c>
    </row>
    <row r="55" spans="1:9">
      <c r="A55" s="2" t="s">
        <v>53</v>
      </c>
      <c r="B55" s="2"/>
      <c r="C55" s="2"/>
      <c r="D55" s="3">
        <f>(D53/3)/12</f>
        <v>71.865987373737383</v>
      </c>
    </row>
    <row r="56" spans="1:9">
      <c r="A56" s="12" t="s">
        <v>54</v>
      </c>
      <c r="B56" s="12"/>
      <c r="C56" s="12"/>
      <c r="D56" s="30">
        <f>D55+D54+D53</f>
        <v>2874.6394949494952</v>
      </c>
      <c r="E56" s="10" t="s">
        <v>55</v>
      </c>
      <c r="F56" s="10"/>
      <c r="G56" s="10"/>
      <c r="H56" s="10"/>
      <c r="I56" s="29">
        <f>D48+D54+D55</f>
        <v>2583.6203131313132</v>
      </c>
    </row>
    <row r="58" spans="1:9" ht="30">
      <c r="A58" s="17" t="s">
        <v>25</v>
      </c>
      <c r="B58" s="58" t="s">
        <v>26</v>
      </c>
      <c r="C58" s="59"/>
      <c r="D58" s="59"/>
      <c r="E58" s="59"/>
      <c r="F58" s="59"/>
      <c r="G58" s="60"/>
      <c r="H58" s="18" t="s">
        <v>27</v>
      </c>
      <c r="I58" s="18" t="s">
        <v>28</v>
      </c>
    </row>
    <row r="59" spans="1:9">
      <c r="A59" s="19" t="s">
        <v>29</v>
      </c>
      <c r="B59" s="49" t="s">
        <v>30</v>
      </c>
      <c r="C59" s="50"/>
      <c r="D59" s="50"/>
      <c r="E59" s="50"/>
      <c r="F59" s="50"/>
      <c r="G59" s="51"/>
      <c r="H59" s="20">
        <v>0.2</v>
      </c>
      <c r="I59" s="21">
        <f>$I$56*H59</f>
        <v>516.72406262626271</v>
      </c>
    </row>
    <row r="60" spans="1:9">
      <c r="A60" s="19" t="s">
        <v>31</v>
      </c>
      <c r="B60" s="49" t="s">
        <v>32</v>
      </c>
      <c r="C60" s="50"/>
      <c r="D60" s="50"/>
      <c r="E60" s="50"/>
      <c r="F60" s="50"/>
      <c r="G60" s="51"/>
      <c r="H60" s="20">
        <v>1.4999999999999999E-2</v>
      </c>
      <c r="I60" s="21">
        <f t="shared" ref="I60:I66" si="2">$I$56*H60</f>
        <v>38.754304696969697</v>
      </c>
    </row>
    <row r="61" spans="1:9">
      <c r="A61" s="19" t="s">
        <v>33</v>
      </c>
      <c r="B61" s="49" t="s">
        <v>34</v>
      </c>
      <c r="C61" s="50"/>
      <c r="D61" s="50"/>
      <c r="E61" s="50"/>
      <c r="F61" s="50"/>
      <c r="G61" s="51"/>
      <c r="H61" s="20">
        <v>0.01</v>
      </c>
      <c r="I61" s="21">
        <f t="shared" si="2"/>
        <v>25.836203131313134</v>
      </c>
    </row>
    <row r="62" spans="1:9">
      <c r="A62" s="19" t="s">
        <v>35</v>
      </c>
      <c r="B62" s="49" t="s">
        <v>36</v>
      </c>
      <c r="C62" s="50"/>
      <c r="D62" s="50"/>
      <c r="E62" s="50"/>
      <c r="F62" s="50"/>
      <c r="G62" s="51"/>
      <c r="H62" s="20">
        <v>2E-3</v>
      </c>
      <c r="I62" s="21">
        <f t="shared" si="2"/>
        <v>5.1672406262626263</v>
      </c>
    </row>
    <row r="63" spans="1:9">
      <c r="A63" s="19" t="s">
        <v>37</v>
      </c>
      <c r="B63" s="52" t="s">
        <v>38</v>
      </c>
      <c r="C63" s="53"/>
      <c r="D63" s="53"/>
      <c r="E63" s="53"/>
      <c r="F63" s="53"/>
      <c r="G63" s="54"/>
      <c r="H63" s="20">
        <v>2.5000000000000001E-2</v>
      </c>
      <c r="I63" s="21">
        <f t="shared" si="2"/>
        <v>64.590507828282838</v>
      </c>
    </row>
    <row r="64" spans="1:9">
      <c r="A64" s="19" t="s">
        <v>39</v>
      </c>
      <c r="B64" s="52" t="s">
        <v>40</v>
      </c>
      <c r="C64" s="53"/>
      <c r="D64" s="53"/>
      <c r="E64" s="53"/>
      <c r="F64" s="53"/>
      <c r="G64" s="54"/>
      <c r="H64" s="22">
        <v>0.08</v>
      </c>
      <c r="I64" s="21">
        <f t="shared" si="2"/>
        <v>206.68962505050507</v>
      </c>
    </row>
    <row r="65" spans="1:9">
      <c r="A65" s="19" t="s">
        <v>41</v>
      </c>
      <c r="B65" s="55" t="s">
        <v>42</v>
      </c>
      <c r="C65" s="56"/>
      <c r="D65" s="23" t="s">
        <v>43</v>
      </c>
      <c r="E65" s="24">
        <v>0.03</v>
      </c>
      <c r="F65" s="23" t="s">
        <v>44</v>
      </c>
      <c r="G65" s="25">
        <v>1</v>
      </c>
      <c r="H65" s="26">
        <f>ROUND((E65*G65),6)</f>
        <v>0.03</v>
      </c>
      <c r="I65" s="21">
        <f t="shared" si="2"/>
        <v>77.508609393939395</v>
      </c>
    </row>
    <row r="66" spans="1:9">
      <c r="A66" s="19" t="s">
        <v>45</v>
      </c>
      <c r="B66" s="52" t="s">
        <v>46</v>
      </c>
      <c r="C66" s="53"/>
      <c r="D66" s="53"/>
      <c r="E66" s="53"/>
      <c r="F66" s="53"/>
      <c r="G66" s="54"/>
      <c r="H66" s="20">
        <v>6.0000000000000001E-3</v>
      </c>
      <c r="I66" s="21">
        <f t="shared" si="2"/>
        <v>15.50172187878788</v>
      </c>
    </row>
    <row r="67" spans="1:9">
      <c r="A67" s="46" t="s">
        <v>47</v>
      </c>
      <c r="B67" s="47"/>
      <c r="C67" s="47"/>
      <c r="D67" s="47"/>
      <c r="E67" s="47"/>
      <c r="F67" s="47"/>
      <c r="G67" s="48"/>
      <c r="H67" s="27">
        <f>SUM(H59:H66)</f>
        <v>0.3680000000000001</v>
      </c>
      <c r="I67" s="28">
        <f>TRUNC(SUM(I59:I66),2)</f>
        <v>950.77</v>
      </c>
    </row>
    <row r="69" spans="1:9">
      <c r="A69" s="32" t="s">
        <v>59</v>
      </c>
      <c r="B69" s="2"/>
      <c r="C69" s="2"/>
      <c r="D69" s="2"/>
      <c r="E69" s="2"/>
      <c r="F69" s="2"/>
      <c r="G69" s="2"/>
      <c r="H69" s="2"/>
      <c r="I69" s="13">
        <f>D56+I67</f>
        <v>3825.4094949494952</v>
      </c>
    </row>
    <row r="70" spans="1:9">
      <c r="A70" s="33" t="s">
        <v>57</v>
      </c>
      <c r="B70" s="2"/>
      <c r="C70" s="2"/>
      <c r="D70" s="2"/>
      <c r="E70" s="2"/>
      <c r="F70" s="2"/>
      <c r="G70" s="2"/>
      <c r="H70" s="11">
        <v>1</v>
      </c>
      <c r="I70" s="13">
        <f>I69*H70</f>
        <v>3825.4094949494952</v>
      </c>
    </row>
    <row r="74" spans="1:9">
      <c r="A74" s="35" t="s">
        <v>60</v>
      </c>
    </row>
    <row r="75" spans="1:9">
      <c r="A75" s="36" t="s">
        <v>61</v>
      </c>
    </row>
    <row r="76" spans="1:9">
      <c r="A76" s="36" t="s">
        <v>62</v>
      </c>
    </row>
    <row r="77" spans="1:9">
      <c r="A77" s="36" t="s">
        <v>63</v>
      </c>
    </row>
    <row r="78" spans="1:9">
      <c r="A78" s="36" t="s">
        <v>64</v>
      </c>
    </row>
    <row r="79" spans="1:9">
      <c r="A79" s="36"/>
    </row>
    <row r="80" spans="1:9">
      <c r="A80" s="36"/>
    </row>
    <row r="81" spans="1:1">
      <c r="A81" s="36"/>
    </row>
    <row r="82" spans="1:1">
      <c r="A82" s="37" t="s">
        <v>65</v>
      </c>
    </row>
    <row r="83" spans="1:1">
      <c r="A83" s="38" t="s">
        <v>66</v>
      </c>
    </row>
    <row r="84" spans="1:1">
      <c r="A84" s="38" t="s">
        <v>67</v>
      </c>
    </row>
    <row r="85" spans="1:1">
      <c r="A85" s="38" t="s">
        <v>68</v>
      </c>
    </row>
    <row r="86" spans="1:1">
      <c r="A86" s="38" t="s">
        <v>69</v>
      </c>
    </row>
    <row r="87" spans="1:1">
      <c r="A87" s="38" t="s">
        <v>70</v>
      </c>
    </row>
    <row r="88" spans="1:1">
      <c r="A88" s="38" t="s">
        <v>71</v>
      </c>
    </row>
    <row r="89" spans="1:1">
      <c r="A89" s="39" t="s">
        <v>72</v>
      </c>
    </row>
  </sheetData>
  <mergeCells count="12">
    <mergeCell ref="B62:G62"/>
    <mergeCell ref="A1:F1"/>
    <mergeCell ref="B58:G58"/>
    <mergeCell ref="B59:G59"/>
    <mergeCell ref="B60:G60"/>
    <mergeCell ref="B61:G61"/>
    <mergeCell ref="A43:I43"/>
    <mergeCell ref="B63:G63"/>
    <mergeCell ref="B64:G64"/>
    <mergeCell ref="B65:C65"/>
    <mergeCell ref="B66:G66"/>
    <mergeCell ref="A67:G6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9"/>
  <sheetViews>
    <sheetView topLeftCell="A17" workbookViewId="0">
      <selection activeCell="D33" sqref="D33"/>
    </sheetView>
  </sheetViews>
  <sheetFormatPr defaultRowHeight="15"/>
  <cols>
    <col min="1" max="1" width="32.28515625" bestFit="1" customWidth="1"/>
    <col min="2" max="2" width="11.28515625" bestFit="1" customWidth="1"/>
    <col min="3" max="3" width="17" bestFit="1" customWidth="1"/>
    <col min="4" max="4" width="11.7109375" customWidth="1"/>
    <col min="5" max="5" width="10.7109375" customWidth="1"/>
    <col min="9" max="9" width="9.5703125" bestFit="1" customWidth="1"/>
  </cols>
  <sheetData>
    <row r="1" spans="1:6">
      <c r="A1" s="57" t="s">
        <v>7</v>
      </c>
      <c r="B1" s="57"/>
      <c r="C1" s="57"/>
      <c r="D1" s="57"/>
      <c r="E1" s="57"/>
      <c r="F1" s="57"/>
    </row>
    <row r="2" spans="1:6">
      <c r="A2" s="44"/>
      <c r="B2" s="44"/>
      <c r="C2" s="44"/>
      <c r="D2" s="44"/>
      <c r="E2" s="44"/>
      <c r="F2" s="44"/>
    </row>
    <row r="3" spans="1:6">
      <c r="A3" s="44"/>
      <c r="B3" s="45" t="s">
        <v>95</v>
      </c>
      <c r="C3" s="44"/>
      <c r="D3" s="44">
        <v>7</v>
      </c>
      <c r="E3" s="44"/>
      <c r="F3" s="44"/>
    </row>
    <row r="4" spans="1:6">
      <c r="A4" s="34"/>
      <c r="B4" s="45" t="s">
        <v>94</v>
      </c>
      <c r="C4" s="44"/>
      <c r="D4" s="44">
        <v>50</v>
      </c>
      <c r="E4" s="34"/>
      <c r="F4" s="34"/>
    </row>
    <row r="5" spans="1:6">
      <c r="A5" s="34"/>
      <c r="B5" s="40" t="s">
        <v>73</v>
      </c>
      <c r="C5" s="34"/>
      <c r="D5" s="34">
        <f>D3*D4</f>
        <v>350</v>
      </c>
      <c r="E5" s="34"/>
      <c r="F5" s="34"/>
    </row>
    <row r="6" spans="1:6">
      <c r="A6" s="34"/>
      <c r="B6" s="40" t="s">
        <v>74</v>
      </c>
      <c r="C6" s="34"/>
      <c r="D6" s="34">
        <v>20</v>
      </c>
      <c r="E6" s="34"/>
      <c r="F6" s="34"/>
    </row>
    <row r="7" spans="1:6">
      <c r="A7" s="10" t="s">
        <v>88</v>
      </c>
      <c r="B7" t="s">
        <v>20</v>
      </c>
      <c r="D7">
        <f>D5*D6</f>
        <v>7000</v>
      </c>
    </row>
    <row r="9" spans="1:6">
      <c r="A9" s="34" t="s">
        <v>9</v>
      </c>
      <c r="B9" s="7">
        <v>350000</v>
      </c>
      <c r="C9" s="34"/>
      <c r="D9" s="34"/>
      <c r="E9" s="34"/>
      <c r="F9" s="34"/>
    </row>
    <row r="10" spans="1:6">
      <c r="A10" s="34" t="s">
        <v>75</v>
      </c>
      <c r="B10" s="7">
        <f>B9*20%</f>
        <v>70000</v>
      </c>
      <c r="C10" s="34"/>
      <c r="D10" s="34"/>
      <c r="E10" s="34"/>
      <c r="F10" s="34"/>
    </row>
    <row r="11" spans="1:6">
      <c r="A11" s="34" t="s">
        <v>10</v>
      </c>
      <c r="B11" s="7">
        <f>B9-B10</f>
        <v>280000</v>
      </c>
      <c r="C11" s="34"/>
      <c r="D11" s="34"/>
      <c r="E11" s="34"/>
      <c r="F11" s="34"/>
    </row>
    <row r="12" spans="1:6">
      <c r="A12" s="34" t="s">
        <v>11</v>
      </c>
      <c r="B12" s="7">
        <v>60</v>
      </c>
      <c r="C12" s="7">
        <f>B11/B12</f>
        <v>4666.666666666667</v>
      </c>
      <c r="D12" s="34"/>
      <c r="E12" s="34"/>
      <c r="F12" s="34"/>
    </row>
    <row r="13" spans="1:6">
      <c r="A13" s="34" t="s">
        <v>13</v>
      </c>
      <c r="B13" s="15">
        <v>0.1275</v>
      </c>
      <c r="C13" s="8">
        <f>B9*B13/12</f>
        <v>3718.75</v>
      </c>
      <c r="D13" s="34"/>
      <c r="E13" s="34"/>
      <c r="F13" s="34"/>
    </row>
    <row r="15" spans="1:6">
      <c r="A15" s="1" t="s">
        <v>0</v>
      </c>
      <c r="B15" s="1" t="s">
        <v>8</v>
      </c>
      <c r="C15" s="1" t="s">
        <v>19</v>
      </c>
      <c r="D15" s="1" t="s">
        <v>1</v>
      </c>
    </row>
    <row r="16" spans="1:6">
      <c r="A16" s="2" t="s">
        <v>2</v>
      </c>
      <c r="B16" s="2">
        <v>6.7</v>
      </c>
      <c r="C16" s="2">
        <v>4</v>
      </c>
      <c r="D16" s="3">
        <f t="shared" ref="D16:D24" si="0">B16/C16</f>
        <v>1.675</v>
      </c>
    </row>
    <row r="17" spans="1:4">
      <c r="A17" s="2" t="s">
        <v>6</v>
      </c>
      <c r="B17" s="3">
        <v>650</v>
      </c>
      <c r="C17" s="2">
        <f>D7</f>
        <v>7000</v>
      </c>
      <c r="D17" s="3">
        <f t="shared" si="0"/>
        <v>9.285714285714286E-2</v>
      </c>
    </row>
    <row r="18" spans="1:4">
      <c r="A18" s="2" t="s">
        <v>87</v>
      </c>
      <c r="B18" s="3">
        <f>B9*2%</f>
        <v>7000</v>
      </c>
      <c r="C18" s="2">
        <f>C17*12</f>
        <v>84000</v>
      </c>
      <c r="D18" s="3">
        <f t="shared" si="0"/>
        <v>8.3333333333333329E-2</v>
      </c>
    </row>
    <row r="19" spans="1:4">
      <c r="A19" s="2" t="s">
        <v>3</v>
      </c>
      <c r="B19" s="3">
        <v>850</v>
      </c>
      <c r="C19" s="2">
        <f>C17</f>
        <v>7000</v>
      </c>
      <c r="D19" s="3">
        <f t="shared" si="0"/>
        <v>0.12142857142857143</v>
      </c>
    </row>
    <row r="20" spans="1:4">
      <c r="A20" s="2" t="s">
        <v>86</v>
      </c>
      <c r="B20" s="3">
        <f>6*1800</f>
        <v>10800</v>
      </c>
      <c r="C20" s="2">
        <v>70000</v>
      </c>
      <c r="D20" s="3">
        <f t="shared" si="0"/>
        <v>0.15428571428571428</v>
      </c>
    </row>
    <row r="21" spans="1:4">
      <c r="A21" s="2" t="s">
        <v>23</v>
      </c>
      <c r="B21" s="3">
        <v>550</v>
      </c>
      <c r="C21" s="2">
        <f>C19</f>
        <v>7000</v>
      </c>
      <c r="D21" s="3">
        <f t="shared" si="0"/>
        <v>7.857142857142857E-2</v>
      </c>
    </row>
    <row r="22" spans="1:4">
      <c r="A22" s="2" t="s">
        <v>4</v>
      </c>
      <c r="B22" s="3">
        <f>I70</f>
        <v>5146.9285858585863</v>
      </c>
      <c r="C22" s="2">
        <f>C19</f>
        <v>7000</v>
      </c>
      <c r="D22" s="3">
        <f t="shared" si="0"/>
        <v>0.73527551226551235</v>
      </c>
    </row>
    <row r="23" spans="1:4">
      <c r="A23" s="2" t="s">
        <v>12</v>
      </c>
      <c r="B23" s="3">
        <f>C12</f>
        <v>4666.666666666667</v>
      </c>
      <c r="C23" s="2">
        <f>C22</f>
        <v>7000</v>
      </c>
      <c r="D23" s="3">
        <f t="shared" si="0"/>
        <v>0.66666666666666674</v>
      </c>
    </row>
    <row r="24" spans="1:4">
      <c r="A24" s="2" t="s">
        <v>14</v>
      </c>
      <c r="B24" s="9">
        <f>C13</f>
        <v>3718.75</v>
      </c>
      <c r="C24" s="2">
        <f>C23</f>
        <v>7000</v>
      </c>
      <c r="D24" s="3">
        <f t="shared" si="0"/>
        <v>0.53125</v>
      </c>
    </row>
    <row r="25" spans="1:4">
      <c r="A25" s="4" t="s">
        <v>21</v>
      </c>
      <c r="B25" s="4"/>
      <c r="C25" s="4" t="s">
        <v>5</v>
      </c>
      <c r="D25" s="5">
        <f>SUM(D16:D24)</f>
        <v>4.1386683694083697</v>
      </c>
    </row>
    <row r="27" spans="1:4">
      <c r="A27" s="2" t="s">
        <v>17</v>
      </c>
      <c r="B27" s="2"/>
      <c r="C27" s="11">
        <v>0.15</v>
      </c>
      <c r="D27" s="9">
        <f>D25*C27</f>
        <v>0.62080025541125539</v>
      </c>
    </row>
    <row r="28" spans="1:4">
      <c r="A28" s="2" t="s">
        <v>18</v>
      </c>
      <c r="B28" s="2"/>
      <c r="C28" s="11">
        <v>0.15</v>
      </c>
      <c r="D28" s="9">
        <f>D25*C28</f>
        <v>0.62080025541125539</v>
      </c>
    </row>
    <row r="29" spans="1:4">
      <c r="A29" s="12" t="s">
        <v>15</v>
      </c>
      <c r="B29" s="12"/>
      <c r="C29" s="12"/>
      <c r="D29" s="13">
        <f>D28+D27+D25</f>
        <v>5.3802688802308802</v>
      </c>
    </row>
    <row r="30" spans="1:4">
      <c r="A30" s="2" t="s">
        <v>16</v>
      </c>
      <c r="B30" s="2"/>
      <c r="C30" s="14">
        <v>3.6499999999999998E-2</v>
      </c>
      <c r="D30" s="9">
        <f>D29*C30</f>
        <v>0.19637981412842712</v>
      </c>
    </row>
    <row r="31" spans="1:4">
      <c r="A31" s="2" t="s">
        <v>96</v>
      </c>
      <c r="B31" s="2"/>
      <c r="C31" s="11"/>
      <c r="D31" s="9"/>
    </row>
    <row r="32" spans="1:4">
      <c r="A32" s="2" t="s">
        <v>97</v>
      </c>
      <c r="B32" s="2"/>
      <c r="C32" s="11">
        <v>0.12</v>
      </c>
      <c r="D32" s="9">
        <f>D29*C32</f>
        <v>0.64563226562770559</v>
      </c>
    </row>
    <row r="33" spans="1:9">
      <c r="A33" s="12" t="s">
        <v>22</v>
      </c>
      <c r="B33" s="12"/>
      <c r="C33" s="12"/>
      <c r="D33" s="13">
        <f>D29+D30+D32</f>
        <v>6.222280959987013</v>
      </c>
    </row>
    <row r="35" spans="1:9">
      <c r="A35" s="12" t="s">
        <v>81</v>
      </c>
      <c r="B35" s="2"/>
      <c r="C35" s="12" t="s">
        <v>82</v>
      </c>
      <c r="D35" s="12" t="s">
        <v>83</v>
      </c>
    </row>
    <row r="36" spans="1:9">
      <c r="A36" s="41" t="s">
        <v>76</v>
      </c>
      <c r="B36" s="2"/>
      <c r="C36" s="2">
        <f>63.8*2</f>
        <v>127.6</v>
      </c>
      <c r="D36" s="9">
        <f>C36*D$33</f>
        <v>793.96305049434284</v>
      </c>
    </row>
    <row r="37" spans="1:9">
      <c r="A37" s="41" t="s">
        <v>77</v>
      </c>
      <c r="B37" s="2"/>
      <c r="C37" s="2">
        <f>389*2</f>
        <v>778</v>
      </c>
      <c r="D37" s="9">
        <f t="shared" ref="D37:D40" si="1">C37*D$33</f>
        <v>4840.9345868698965</v>
      </c>
    </row>
    <row r="38" spans="1:9">
      <c r="A38" s="41" t="s">
        <v>78</v>
      </c>
      <c r="B38" s="2"/>
      <c r="C38" s="2">
        <f>138*2</f>
        <v>276</v>
      </c>
      <c r="D38" s="9">
        <f t="shared" si="1"/>
        <v>1717.3495449564157</v>
      </c>
    </row>
    <row r="39" spans="1:9">
      <c r="A39" s="41" t="s">
        <v>79</v>
      </c>
      <c r="B39" s="2"/>
      <c r="C39" s="2">
        <f>245*2</f>
        <v>490</v>
      </c>
      <c r="D39" s="9">
        <f t="shared" si="1"/>
        <v>3048.9176703936364</v>
      </c>
    </row>
    <row r="40" spans="1:9">
      <c r="A40" s="42" t="s">
        <v>80</v>
      </c>
      <c r="B40" s="2"/>
      <c r="C40" s="2">
        <f>105*2</f>
        <v>210</v>
      </c>
      <c r="D40" s="9">
        <f t="shared" si="1"/>
        <v>1306.6790015972726</v>
      </c>
    </row>
    <row r="43" spans="1:9" ht="30" customHeight="1">
      <c r="A43" s="61" t="s">
        <v>89</v>
      </c>
      <c r="B43" s="61"/>
      <c r="C43" s="61"/>
      <c r="D43" s="61"/>
      <c r="E43" s="61"/>
      <c r="F43" s="61"/>
      <c r="G43" s="61"/>
      <c r="H43" s="61"/>
      <c r="I43" s="61"/>
    </row>
    <row r="44" spans="1:9">
      <c r="A44" s="10" t="s">
        <v>58</v>
      </c>
      <c r="D44" s="16"/>
    </row>
    <row r="45" spans="1:9">
      <c r="A45" s="12" t="s">
        <v>90</v>
      </c>
      <c r="B45" s="2"/>
      <c r="C45" s="3">
        <v>2933.17</v>
      </c>
      <c r="D45" s="9">
        <v>220</v>
      </c>
    </row>
    <row r="46" spans="1:9">
      <c r="A46" s="2" t="s">
        <v>91</v>
      </c>
      <c r="B46" s="2"/>
      <c r="C46" s="3">
        <f>C45/D45*200</f>
        <v>2666.5181818181818</v>
      </c>
      <c r="D46" s="9"/>
    </row>
    <row r="47" spans="1:9">
      <c r="A47" s="2" t="s">
        <v>48</v>
      </c>
      <c r="B47" s="11">
        <v>0.2</v>
      </c>
      <c r="C47" s="9">
        <f>C46*B47</f>
        <v>533.30363636363643</v>
      </c>
      <c r="D47" s="2"/>
    </row>
    <row r="48" spans="1:9">
      <c r="A48" s="31" t="s">
        <v>56</v>
      </c>
      <c r="B48" s="11"/>
      <c r="C48" s="9"/>
      <c r="D48" s="13">
        <f>C47+C46</f>
        <v>3199.8218181818183</v>
      </c>
    </row>
    <row r="49" spans="1:9">
      <c r="A49" s="2" t="s">
        <v>49</v>
      </c>
      <c r="B49" s="2">
        <v>20</v>
      </c>
      <c r="C49" s="3">
        <v>9.4</v>
      </c>
      <c r="D49" s="3">
        <f>C49*B49</f>
        <v>188</v>
      </c>
    </row>
    <row r="50" spans="1:9">
      <c r="A50" s="2" t="s">
        <v>50</v>
      </c>
      <c r="B50" s="2">
        <v>1</v>
      </c>
      <c r="C50" s="3">
        <v>242.03</v>
      </c>
      <c r="D50" s="3">
        <f>B50*C50</f>
        <v>242.03</v>
      </c>
    </row>
    <row r="51" spans="1:9">
      <c r="A51" s="2" t="s">
        <v>92</v>
      </c>
      <c r="B51" s="2"/>
      <c r="C51" s="43">
        <v>0.1</v>
      </c>
      <c r="D51" s="3">
        <f>-D50*C51</f>
        <v>-24.203000000000003</v>
      </c>
    </row>
    <row r="52" spans="1:9">
      <c r="A52" s="2" t="s">
        <v>93</v>
      </c>
      <c r="B52" s="2"/>
      <c r="C52" s="43">
        <v>0.06</v>
      </c>
      <c r="D52" s="3">
        <f>-C46*C52</f>
        <v>-159.9910909090909</v>
      </c>
    </row>
    <row r="53" spans="1:9">
      <c r="A53" s="12" t="s">
        <v>51</v>
      </c>
      <c r="B53" s="12"/>
      <c r="C53" s="12"/>
      <c r="D53" s="13">
        <f>SUM(D48:D52)</f>
        <v>3445.6577272727277</v>
      </c>
    </row>
    <row r="54" spans="1:9">
      <c r="A54" s="2" t="s">
        <v>52</v>
      </c>
      <c r="B54" s="2"/>
      <c r="C54" s="2"/>
      <c r="D54" s="9">
        <f>D53/12</f>
        <v>287.13814393939396</v>
      </c>
    </row>
    <row r="55" spans="1:9">
      <c r="A55" s="2" t="s">
        <v>53</v>
      </c>
      <c r="B55" s="2"/>
      <c r="C55" s="2"/>
      <c r="D55" s="3">
        <f>(D53/3)/12</f>
        <v>95.712714646464647</v>
      </c>
    </row>
    <row r="56" spans="1:9">
      <c r="A56" s="12" t="s">
        <v>54</v>
      </c>
      <c r="B56" s="12"/>
      <c r="C56" s="12"/>
      <c r="D56" s="30">
        <f>D55+D54+D53</f>
        <v>3828.5085858585862</v>
      </c>
      <c r="E56" s="10" t="s">
        <v>55</v>
      </c>
      <c r="F56" s="10"/>
      <c r="G56" s="10"/>
      <c r="H56" s="10"/>
      <c r="I56" s="29">
        <f>D48+D54+D55</f>
        <v>3582.6726767676769</v>
      </c>
    </row>
    <row r="58" spans="1:9" ht="30">
      <c r="A58" s="17" t="s">
        <v>25</v>
      </c>
      <c r="B58" s="58" t="s">
        <v>26</v>
      </c>
      <c r="C58" s="59"/>
      <c r="D58" s="59"/>
      <c r="E58" s="59"/>
      <c r="F58" s="59"/>
      <c r="G58" s="60"/>
      <c r="H58" s="18" t="s">
        <v>27</v>
      </c>
      <c r="I58" s="18" t="s">
        <v>28</v>
      </c>
    </row>
    <row r="59" spans="1:9">
      <c r="A59" s="19" t="s">
        <v>29</v>
      </c>
      <c r="B59" s="49" t="s">
        <v>30</v>
      </c>
      <c r="C59" s="50"/>
      <c r="D59" s="50"/>
      <c r="E59" s="50"/>
      <c r="F59" s="50"/>
      <c r="G59" s="51"/>
      <c r="H59" s="20">
        <v>0.2</v>
      </c>
      <c r="I59" s="21">
        <f>$I$56*H59</f>
        <v>716.53453535353538</v>
      </c>
    </row>
    <row r="60" spans="1:9">
      <c r="A60" s="19" t="s">
        <v>31</v>
      </c>
      <c r="B60" s="49" t="s">
        <v>32</v>
      </c>
      <c r="C60" s="50"/>
      <c r="D60" s="50"/>
      <c r="E60" s="50"/>
      <c r="F60" s="50"/>
      <c r="G60" s="51"/>
      <c r="H60" s="20">
        <v>1.4999999999999999E-2</v>
      </c>
      <c r="I60" s="21">
        <f t="shared" ref="I60:I66" si="2">$I$56*H60</f>
        <v>53.740090151515155</v>
      </c>
    </row>
    <row r="61" spans="1:9">
      <c r="A61" s="19" t="s">
        <v>33</v>
      </c>
      <c r="B61" s="49" t="s">
        <v>34</v>
      </c>
      <c r="C61" s="50"/>
      <c r="D61" s="50"/>
      <c r="E61" s="50"/>
      <c r="F61" s="50"/>
      <c r="G61" s="51"/>
      <c r="H61" s="20">
        <v>0.01</v>
      </c>
      <c r="I61" s="21">
        <f t="shared" si="2"/>
        <v>35.826726767676767</v>
      </c>
    </row>
    <row r="62" spans="1:9">
      <c r="A62" s="19" t="s">
        <v>35</v>
      </c>
      <c r="B62" s="49" t="s">
        <v>36</v>
      </c>
      <c r="C62" s="50"/>
      <c r="D62" s="50"/>
      <c r="E62" s="50"/>
      <c r="F62" s="50"/>
      <c r="G62" s="51"/>
      <c r="H62" s="20">
        <v>2E-3</v>
      </c>
      <c r="I62" s="21">
        <f t="shared" si="2"/>
        <v>7.1653453535353542</v>
      </c>
    </row>
    <row r="63" spans="1:9">
      <c r="A63" s="19" t="s">
        <v>37</v>
      </c>
      <c r="B63" s="52" t="s">
        <v>38</v>
      </c>
      <c r="C63" s="53"/>
      <c r="D63" s="53"/>
      <c r="E63" s="53"/>
      <c r="F63" s="53"/>
      <c r="G63" s="54"/>
      <c r="H63" s="20">
        <v>2.5000000000000001E-2</v>
      </c>
      <c r="I63" s="21">
        <f t="shared" si="2"/>
        <v>89.566816919191922</v>
      </c>
    </row>
    <row r="64" spans="1:9">
      <c r="A64" s="19" t="s">
        <v>39</v>
      </c>
      <c r="B64" s="52" t="s">
        <v>40</v>
      </c>
      <c r="C64" s="53"/>
      <c r="D64" s="53"/>
      <c r="E64" s="53"/>
      <c r="F64" s="53"/>
      <c r="G64" s="54"/>
      <c r="H64" s="22">
        <v>0.08</v>
      </c>
      <c r="I64" s="21">
        <f t="shared" si="2"/>
        <v>286.61381414141414</v>
      </c>
    </row>
    <row r="65" spans="1:9">
      <c r="A65" s="19" t="s">
        <v>41</v>
      </c>
      <c r="B65" s="55" t="s">
        <v>42</v>
      </c>
      <c r="C65" s="56"/>
      <c r="D65" s="23" t="s">
        <v>43</v>
      </c>
      <c r="E65" s="24">
        <v>0.03</v>
      </c>
      <c r="F65" s="23" t="s">
        <v>44</v>
      </c>
      <c r="G65" s="25">
        <v>1</v>
      </c>
      <c r="H65" s="26">
        <f>ROUND((E65*G65),6)</f>
        <v>0.03</v>
      </c>
      <c r="I65" s="21">
        <f t="shared" si="2"/>
        <v>107.48018030303031</v>
      </c>
    </row>
    <row r="66" spans="1:9">
      <c r="A66" s="19" t="s">
        <v>45</v>
      </c>
      <c r="B66" s="52" t="s">
        <v>46</v>
      </c>
      <c r="C66" s="53"/>
      <c r="D66" s="53"/>
      <c r="E66" s="53"/>
      <c r="F66" s="53"/>
      <c r="G66" s="54"/>
      <c r="H66" s="20">
        <v>6.0000000000000001E-3</v>
      </c>
      <c r="I66" s="21">
        <f t="shared" si="2"/>
        <v>21.496036060606063</v>
      </c>
    </row>
    <row r="67" spans="1:9">
      <c r="A67" s="46" t="s">
        <v>47</v>
      </c>
      <c r="B67" s="47"/>
      <c r="C67" s="47"/>
      <c r="D67" s="47"/>
      <c r="E67" s="47"/>
      <c r="F67" s="47"/>
      <c r="G67" s="48"/>
      <c r="H67" s="27">
        <f>SUM(H59:H66)</f>
        <v>0.3680000000000001</v>
      </c>
      <c r="I67" s="28">
        <f>TRUNC(SUM(I59:I66),2)</f>
        <v>1318.42</v>
      </c>
    </row>
    <row r="69" spans="1:9">
      <c r="A69" s="32" t="s">
        <v>59</v>
      </c>
      <c r="B69" s="2"/>
      <c r="C69" s="2"/>
      <c r="D69" s="2"/>
      <c r="E69" s="2"/>
      <c r="F69" s="2"/>
      <c r="G69" s="2"/>
      <c r="H69" s="2"/>
      <c r="I69" s="13">
        <f>D56+I67</f>
        <v>5146.9285858585863</v>
      </c>
    </row>
    <row r="70" spans="1:9">
      <c r="A70" s="33" t="s">
        <v>57</v>
      </c>
      <c r="B70" s="2"/>
      <c r="C70" s="2"/>
      <c r="D70" s="2"/>
      <c r="E70" s="2"/>
      <c r="F70" s="2"/>
      <c r="G70" s="2"/>
      <c r="H70" s="11">
        <v>1</v>
      </c>
      <c r="I70" s="13">
        <f>I69*H70</f>
        <v>5146.9285858585863</v>
      </c>
    </row>
    <row r="74" spans="1:9">
      <c r="A74" s="35" t="s">
        <v>60</v>
      </c>
    </row>
    <row r="75" spans="1:9">
      <c r="A75" s="36" t="s">
        <v>61</v>
      </c>
    </row>
    <row r="76" spans="1:9">
      <c r="A76" s="36" t="s">
        <v>62</v>
      </c>
    </row>
    <row r="77" spans="1:9">
      <c r="A77" s="36" t="s">
        <v>63</v>
      </c>
    </row>
    <row r="78" spans="1:9">
      <c r="A78" s="36" t="s">
        <v>64</v>
      </c>
    </row>
    <row r="79" spans="1:9">
      <c r="A79" s="36"/>
    </row>
    <row r="80" spans="1:9">
      <c r="A80" s="36"/>
    </row>
    <row r="81" spans="1:1">
      <c r="A81" s="36"/>
    </row>
    <row r="82" spans="1:1">
      <c r="A82" s="37" t="s">
        <v>65</v>
      </c>
    </row>
    <row r="83" spans="1:1">
      <c r="A83" s="38" t="s">
        <v>66</v>
      </c>
    </row>
    <row r="84" spans="1:1">
      <c r="A84" s="38" t="s">
        <v>67</v>
      </c>
    </row>
    <row r="85" spans="1:1">
      <c r="A85" s="38" t="s">
        <v>68</v>
      </c>
    </row>
    <row r="86" spans="1:1">
      <c r="A86" s="38" t="s">
        <v>69</v>
      </c>
    </row>
    <row r="87" spans="1:1">
      <c r="A87" s="38" t="s">
        <v>70</v>
      </c>
    </row>
    <row r="88" spans="1:1">
      <c r="A88" s="38" t="s">
        <v>71</v>
      </c>
    </row>
    <row r="89" spans="1:1">
      <c r="A89" s="39" t="s">
        <v>72</v>
      </c>
    </row>
  </sheetData>
  <mergeCells count="12">
    <mergeCell ref="B62:G62"/>
    <mergeCell ref="A1:F1"/>
    <mergeCell ref="B58:G58"/>
    <mergeCell ref="B59:G59"/>
    <mergeCell ref="B60:G60"/>
    <mergeCell ref="B61:G61"/>
    <mergeCell ref="A43:I43"/>
    <mergeCell ref="B63:G63"/>
    <mergeCell ref="B64:G64"/>
    <mergeCell ref="B65:C65"/>
    <mergeCell ref="B66:G66"/>
    <mergeCell ref="A67:G6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van 15 e 18 lugar</vt:lpstr>
      <vt:lpstr>micro 26 lugar</vt:lpstr>
      <vt:lpstr>onibus 40 lugar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Cliente</cp:lastModifiedBy>
  <dcterms:created xsi:type="dcterms:W3CDTF">2019-11-18T12:02:57Z</dcterms:created>
  <dcterms:modified xsi:type="dcterms:W3CDTF">2022-05-19T14:23:29Z</dcterms:modified>
</cp:coreProperties>
</file>