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QUITETURA\Desktop\Bruno Eng\5. PROJETOS 2021\03 - PROJ. DE LIXO\2º - PROJ. TRANSP. LIXO - 07.10.21\09.11.2021\"/>
    </mc:Choice>
  </mc:AlternateContent>
  <bookViews>
    <workbookView xWindow="0" yWindow="0" windowWidth="12495" windowHeight="6825" tabRatio="791" activeTab="3"/>
  </bookViews>
  <sheets>
    <sheet name="1.Transporte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'1.Transporte'!$A$1:$F$294</definedName>
    <definedName name="_xlnm.Print_Area" localSheetId="1">'2.Encargos Sociais'!$A$1:$E$38</definedName>
    <definedName name="_xlnm.Print_Area" localSheetId="3">'4.BDI'!$A$1:$F$25</definedName>
    <definedName name="_xlnm.Print_Titles" localSheetId="0">'1.Transporte'!#REF!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4" l="1"/>
  <c r="B226" i="2" l="1"/>
  <c r="D128" i="2" l="1"/>
  <c r="E128" i="2" s="1"/>
  <c r="E170" i="2" l="1"/>
  <c r="D237" i="2" l="1"/>
  <c r="D235" i="2"/>
  <c r="A26" i="2" l="1"/>
  <c r="D233" i="2" l="1"/>
  <c r="D231" i="2"/>
  <c r="E57" i="2" l="1"/>
  <c r="D58" i="2"/>
  <c r="E58" i="2" s="1"/>
  <c r="D59" i="2"/>
  <c r="E59" i="2" s="1"/>
  <c r="E66" i="2"/>
  <c r="D70" i="2"/>
  <c r="D76" i="2" s="1"/>
  <c r="E76" i="2" s="1"/>
  <c r="E70" i="2"/>
  <c r="C72" i="2"/>
  <c r="D73" i="2"/>
  <c r="E73" i="2" s="1"/>
  <c r="C75" i="2"/>
  <c r="D75" i="2"/>
  <c r="E75" i="2"/>
  <c r="C78" i="2"/>
  <c r="E78" i="2" s="1"/>
  <c r="D78" i="2"/>
  <c r="C80" i="2"/>
  <c r="E85" i="2"/>
  <c r="D60" i="2" l="1"/>
  <c r="E60" i="2" s="1"/>
  <c r="D61" i="2" s="1"/>
  <c r="E61" i="2" s="1"/>
  <c r="D79" i="2"/>
  <c r="E79" i="2" s="1"/>
  <c r="D72" i="2"/>
  <c r="E72" i="2" s="1"/>
  <c r="C21" i="9"/>
  <c r="D80" i="2" l="1"/>
  <c r="E80" i="2" s="1"/>
  <c r="E81" i="2" s="1"/>
  <c r="E62" i="2"/>
  <c r="C23" i="5"/>
  <c r="D82" i="2" l="1"/>
  <c r="D63" i="2"/>
  <c r="C219" i="2"/>
  <c r="C218" i="2"/>
  <c r="C220" i="2"/>
  <c r="A35" i="2" l="1"/>
  <c r="A34" i="2"/>
  <c r="A33" i="2"/>
  <c r="A25" i="2"/>
  <c r="A24" i="2"/>
  <c r="A16" i="2"/>
  <c r="C13" i="9" l="1"/>
  <c r="C14" i="9" s="1"/>
  <c r="C15" i="9" l="1"/>
  <c r="C17" i="9"/>
  <c r="C22" i="9" s="1"/>
  <c r="C24" i="9" s="1"/>
  <c r="C189" i="2"/>
  <c r="C194" i="2"/>
  <c r="E44" i="2" l="1"/>
  <c r="E43" i="2"/>
  <c r="E42" i="2"/>
  <c r="E41" i="2"/>
  <c r="C162" i="2" s="1"/>
  <c r="E48" i="2"/>
  <c r="C213" i="2" l="1"/>
  <c r="C208" i="2"/>
  <c r="D238" i="2"/>
  <c r="D236" i="2"/>
  <c r="D234" i="2"/>
  <c r="D232" i="2"/>
  <c r="D168" i="2" l="1"/>
  <c r="E168" i="2" s="1"/>
  <c r="E152" i="2"/>
  <c r="E153" i="2"/>
  <c r="E154" i="2"/>
  <c r="E155" i="2"/>
  <c r="E156" i="2"/>
  <c r="E157" i="2"/>
  <c r="E158" i="2"/>
  <c r="E159" i="2"/>
  <c r="E160" i="2"/>
  <c r="E151" i="2"/>
  <c r="D91" i="2" l="1"/>
  <c r="E91" i="2" s="1"/>
  <c r="C110" i="2"/>
  <c r="C113" i="2" l="1"/>
  <c r="D92" i="2"/>
  <c r="E92" i="2" s="1"/>
  <c r="D93" i="2" s="1"/>
  <c r="E93" i="2" s="1"/>
  <c r="C253" i="2" l="1"/>
  <c r="D105" i="2"/>
  <c r="A32" i="2"/>
  <c r="A31" i="2"/>
  <c r="A30" i="2"/>
  <c r="A29" i="2"/>
  <c r="A28" i="2"/>
  <c r="A27" i="2"/>
  <c r="A23" i="2"/>
  <c r="A22" i="2"/>
  <c r="A21" i="2"/>
  <c r="A20" i="2"/>
  <c r="A19" i="2"/>
  <c r="A18" i="2"/>
  <c r="A17" i="2"/>
  <c r="C21" i="8"/>
  <c r="E278" i="2"/>
  <c r="E222" i="2"/>
  <c r="E214" i="2"/>
  <c r="E198" i="2"/>
  <c r="E176" i="2"/>
  <c r="E163" i="2"/>
  <c r="E141" i="2"/>
  <c r="E121" i="2"/>
  <c r="E100" i="2"/>
  <c r="D202" i="2"/>
  <c r="C24" i="4"/>
  <c r="C287" i="2" s="1"/>
  <c r="F17" i="4"/>
  <c r="E17" i="4"/>
  <c r="D17" i="4"/>
  <c r="C18" i="8"/>
  <c r="C25" i="5"/>
  <c r="C116" i="2"/>
  <c r="C107" i="2"/>
  <c r="D104" i="2"/>
  <c r="D110" i="2" s="1"/>
  <c r="E110" i="2" s="1"/>
  <c r="E89" i="2"/>
  <c r="C128" i="2"/>
  <c r="C251" i="2"/>
  <c r="E251" i="2" s="1"/>
  <c r="C230" i="2"/>
  <c r="C232" i="2" s="1"/>
  <c r="E232" i="2" s="1"/>
  <c r="D230" i="2"/>
  <c r="D239" i="2" s="1"/>
  <c r="E186" i="2"/>
  <c r="D207" i="2"/>
  <c r="C195" i="2"/>
  <c r="C190" i="2"/>
  <c r="C274" i="2"/>
  <c r="C276" i="2" s="1"/>
  <c r="E276" i="2" s="1"/>
  <c r="D277" i="2" s="1"/>
  <c r="E277" i="2" s="1"/>
  <c r="C191" i="2"/>
  <c r="C207" i="2" s="1"/>
  <c r="C127" i="2"/>
  <c r="A41" i="2"/>
  <c r="A42" i="2"/>
  <c r="A43" i="2"/>
  <c r="A44" i="2"/>
  <c r="A48" i="2"/>
  <c r="D127" i="2"/>
  <c r="A133" i="2"/>
  <c r="A139" i="2" s="1"/>
  <c r="A134" i="2"/>
  <c r="A140" i="2" s="1"/>
  <c r="E161" i="2"/>
  <c r="D169" i="2"/>
  <c r="E169" i="2" s="1"/>
  <c r="D170" i="2"/>
  <c r="D171" i="2"/>
  <c r="E171" i="2" s="1"/>
  <c r="D172" i="2"/>
  <c r="E172" i="2" s="1"/>
  <c r="D173" i="2"/>
  <c r="E173" i="2" s="1"/>
  <c r="E174" i="2"/>
  <c r="E249" i="2"/>
  <c r="E220" i="2"/>
  <c r="E219" i="2"/>
  <c r="E262" i="2"/>
  <c r="E265" i="2"/>
  <c r="E266" i="2"/>
  <c r="E263" i="2"/>
  <c r="E264" i="2"/>
  <c r="D95" i="2"/>
  <c r="E95" i="2" s="1"/>
  <c r="C27" i="5" l="1"/>
  <c r="C28" i="5" s="1"/>
  <c r="C26" i="5"/>
  <c r="C32" i="8" s="1"/>
  <c r="D189" i="2"/>
  <c r="E189" i="2" s="1"/>
  <c r="D218" i="2"/>
  <c r="E104" i="2"/>
  <c r="D108" i="2"/>
  <c r="E108" i="2" s="1"/>
  <c r="D111" i="2"/>
  <c r="E111" i="2" s="1"/>
  <c r="D113" i="2"/>
  <c r="E113" i="2" s="1"/>
  <c r="D107" i="2"/>
  <c r="E107" i="2" s="1"/>
  <c r="C236" i="2"/>
  <c r="E236" i="2" s="1"/>
  <c r="C238" i="2"/>
  <c r="E238" i="2" s="1"/>
  <c r="F267" i="2"/>
  <c r="F269" i="2" s="1"/>
  <c r="E33" i="2" s="1"/>
  <c r="C134" i="2"/>
  <c r="E134" i="2" s="1"/>
  <c r="E230" i="2"/>
  <c r="E191" i="2"/>
  <c r="C209" i="2" s="1"/>
  <c r="D162" i="2"/>
  <c r="C133" i="2"/>
  <c r="E133" i="2" s="1"/>
  <c r="E45" i="2"/>
  <c r="C139" i="2"/>
  <c r="E139" i="2" s="1"/>
  <c r="E127" i="2"/>
  <c r="E207" i="2"/>
  <c r="C140" i="2"/>
  <c r="E140" i="2" s="1"/>
  <c r="C175" i="2"/>
  <c r="C234" i="2"/>
  <c r="E234" i="2" s="1"/>
  <c r="C244" i="2"/>
  <c r="E244" i="2" s="1"/>
  <c r="F245" i="2" s="1"/>
  <c r="E31" i="2" s="1"/>
  <c r="E274" i="2"/>
  <c r="D275" i="2" s="1"/>
  <c r="E275" i="2" s="1"/>
  <c r="F278" i="2" s="1"/>
  <c r="F280" i="2" s="1"/>
  <c r="E34" i="2" s="1"/>
  <c r="E202" i="2"/>
  <c r="D252" i="2"/>
  <c r="E252" i="2" s="1"/>
  <c r="D253" i="2" s="1"/>
  <c r="E253" i="2" s="1"/>
  <c r="F254" i="2" s="1"/>
  <c r="E32" i="2" s="1"/>
  <c r="D175" i="2"/>
  <c r="E96" i="2"/>
  <c r="C31" i="8" l="1"/>
  <c r="C33" i="5"/>
  <c r="C28" i="8" s="1"/>
  <c r="C36" i="8" s="1"/>
  <c r="D190" i="2"/>
  <c r="E190" i="2" s="1"/>
  <c r="E218" i="2"/>
  <c r="D221" i="2" s="1"/>
  <c r="E221" i="2" s="1"/>
  <c r="F222" i="2" s="1"/>
  <c r="E29" i="2" s="1"/>
  <c r="C204" i="2"/>
  <c r="C205" i="2" s="1"/>
  <c r="D206" i="2" s="1"/>
  <c r="E206" i="2" s="1"/>
  <c r="C29" i="8"/>
  <c r="C20" i="8"/>
  <c r="C26" i="8" s="1"/>
  <c r="C35" i="8" s="1"/>
  <c r="D114" i="2"/>
  <c r="E114" i="2" s="1"/>
  <c r="D116" i="2" s="1"/>
  <c r="E116" i="2" s="1"/>
  <c r="F135" i="2"/>
  <c r="E22" i="2" s="1"/>
  <c r="F141" i="2"/>
  <c r="E23" i="2" s="1"/>
  <c r="E175" i="2"/>
  <c r="F176" i="2" s="1"/>
  <c r="E162" i="2"/>
  <c r="F163" i="2" s="1"/>
  <c r="D194" i="2"/>
  <c r="E194" i="2" s="1"/>
  <c r="D195" i="2" s="1"/>
  <c r="E195" i="2" s="1"/>
  <c r="F129" i="2"/>
  <c r="E21" i="2" s="1"/>
  <c r="F240" i="2"/>
  <c r="E30" i="2" s="1"/>
  <c r="D97" i="2"/>
  <c r="C30" i="8" l="1"/>
  <c r="C33" i="8" s="1"/>
  <c r="C37" i="8"/>
  <c r="E196" i="2"/>
  <c r="D197" i="2" s="1"/>
  <c r="E197" i="2" s="1"/>
  <c r="F198" i="2" s="1"/>
  <c r="E27" i="2" s="1"/>
  <c r="C210" i="2"/>
  <c r="D211" i="2" s="1"/>
  <c r="E211" i="2" s="1"/>
  <c r="E212" i="2" s="1"/>
  <c r="D213" i="2" s="1"/>
  <c r="E213" i="2" s="1"/>
  <c r="F214" i="2" s="1"/>
  <c r="F178" i="2"/>
  <c r="E24" i="2" s="1"/>
  <c r="E117" i="2"/>
  <c r="D118" i="2" s="1"/>
  <c r="C38" i="8" l="1"/>
  <c r="E28" i="2"/>
  <c r="E26" i="2" s="1"/>
  <c r="F257" i="2"/>
  <c r="E25" i="2" s="1"/>
  <c r="C97" i="2" l="1"/>
  <c r="E97" i="2" s="1"/>
  <c r="E98" i="2" s="1"/>
  <c r="D99" i="2" s="1"/>
  <c r="E99" i="2" s="1"/>
  <c r="F100" i="2" s="1"/>
  <c r="E19" i="2" s="1"/>
  <c r="C63" i="2"/>
  <c r="E63" i="2" s="1"/>
  <c r="E64" i="2" s="1"/>
  <c r="D65" i="2" s="1"/>
  <c r="E65" i="2" s="1"/>
  <c r="F66" i="2" s="1"/>
  <c r="E17" i="2" s="1"/>
  <c r="C82" i="2"/>
  <c r="E82" i="2" s="1"/>
  <c r="E83" i="2" s="1"/>
  <c r="D84" i="2" s="1"/>
  <c r="E84" i="2" s="1"/>
  <c r="F85" i="2" s="1"/>
  <c r="E18" i="2" s="1"/>
  <c r="C118" i="2"/>
  <c r="E118" i="2" s="1"/>
  <c r="E119" i="2" s="1"/>
  <c r="D120" i="2" s="1"/>
  <c r="E120" i="2" s="1"/>
  <c r="F121" i="2" s="1"/>
  <c r="E20" i="2" s="1"/>
  <c r="F144" i="2" l="1"/>
  <c r="F282" i="2" s="1"/>
  <c r="E16" i="2" l="1"/>
  <c r="D287" i="2"/>
  <c r="E287" i="2" s="1"/>
  <c r="F288" i="2" s="1"/>
  <c r="F290" i="2" s="1"/>
  <c r="E35" i="2" s="1"/>
  <c r="E36" i="2" l="1"/>
  <c r="F293" i="2"/>
  <c r="F16" i="2" l="1"/>
  <c r="F28" i="2"/>
  <c r="F34" i="2"/>
  <c r="F18" i="2"/>
  <c r="F24" i="2"/>
  <c r="F17" i="2"/>
  <c r="F23" i="2"/>
  <c r="F20" i="2"/>
  <c r="F25" i="2"/>
  <c r="F32" i="2"/>
  <c r="F31" i="2"/>
  <c r="F19" i="2"/>
  <c r="F26" i="2"/>
  <c r="F27" i="2"/>
  <c r="F22" i="2"/>
  <c r="F29" i="2"/>
  <c r="F21" i="2"/>
  <c r="F33" i="2"/>
  <c r="F30" i="2"/>
  <c r="F35" i="2"/>
  <c r="F36" i="2" l="1"/>
</calcChain>
</file>

<file path=xl/comments1.xml><?xml version="1.0" encoding="utf-8"?>
<comments xmlns="http://schemas.openxmlformats.org/spreadsheetml/2006/main">
  <authors>
    <author>Clauber Bridi</author>
  </authors>
  <commentList>
    <comment ref="A14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0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5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1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4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6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7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79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4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9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90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1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2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3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5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7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6" authorId="0" shape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08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4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8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0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5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6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7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28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3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4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9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0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61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6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4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6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7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88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9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2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7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3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6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29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29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1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3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5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5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7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3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4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49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49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0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1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2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262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3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4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6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71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4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76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87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Zerado até 31/12/2021 em virtude do Decreto Estadual nº 55.998/2021. Caso volte a ser cobrado, a planilha sofrerá repactuação.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Informar a capacidade do semirreboque em m³</t>
        </r>
      </text>
    </comment>
    <comment ref="C23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<sst xmlns="http://schemas.openxmlformats.org/spreadsheetml/2006/main" count="609" uniqueCount="319">
  <si>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</si>
  <si>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</si>
  <si>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</si>
  <si>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</si>
  <si>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</si>
  <si>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</si>
  <si>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</si>
  <si>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</si>
  <si>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</si>
  <si>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</si>
  <si>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</si>
  <si>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</si>
  <si>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</si>
  <si>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</si>
  <si>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</si>
  <si>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</si>
  <si>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</si>
  <si>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</si>
  <si>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</si>
  <si>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</si>
  <si>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</si>
  <si>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</si>
  <si>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</si>
  <si>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</si>
  <si>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</si>
  <si>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</si>
  <si>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</si>
  <si>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</si>
  <si>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</si>
  <si>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</si>
  <si>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</si>
  <si>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</si>
  <si>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</si>
  <si>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</si>
  <si>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</si>
  <si>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</si>
  <si>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</si>
  <si>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</si>
  <si>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</si>
  <si>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</si>
  <si>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</si>
  <si>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</si>
  <si>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</si>
  <si>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</si>
  <si>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</si>
  <si>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</si>
  <si>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</si>
  <si>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</si>
  <si>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</si>
  <si>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</si>
  <si>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</si>
  <si>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</si>
  <si>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</si>
  <si>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</si>
  <si>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</si>
  <si>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</si>
  <si>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</si>
  <si>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</si>
  <si>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</si>
  <si>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</si>
  <si>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</si>
  <si>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</si>
  <si>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</si>
  <si>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</si>
  <si>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</si>
  <si>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</si>
  <si>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</si>
  <si>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</si>
  <si>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</si>
  <si>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</si>
  <si>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</si>
  <si>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</si>
  <si>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</si>
  <si>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</si>
  <si>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</si>
  <si>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</si>
  <si>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</si>
  <si>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</si>
  <si>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</si>
  <si>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</si>
  <si>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</si>
  <si>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</si>
  <si>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</si>
  <si>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</si>
  <si>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</si>
  <si>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</si>
  <si>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</si>
  <si>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</si>
  <si>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</si>
  <si>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</si>
  <si>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</si>
  <si>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</si>
  <si>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</si>
  <si>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</si>
  <si>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</si>
  <si>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</si>
  <si>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</si>
  <si>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</si>
  <si>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horas trabalhadas</t>
  </si>
  <si>
    <t>Horas Extras Noturnas (100%)</t>
  </si>
  <si>
    <t>1.1. Coletor Turno Dia</t>
  </si>
  <si>
    <t>1.4. Motorista Turno Noite</t>
  </si>
  <si>
    <t>hora contabilizada</t>
  </si>
  <si>
    <t>Vida útil do chassis</t>
  </si>
  <si>
    <t>anos</t>
  </si>
  <si>
    <t>Depreciação do chassis</t>
  </si>
  <si>
    <t>Custo de aquisição do chassis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</si>
  <si>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</si>
  <si>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</si>
  <si>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</si>
  <si>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</si>
  <si>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</si>
  <si>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</si>
  <si>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</si>
  <si>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</si>
  <si>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</si>
  <si>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</si>
  <si>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</si>
  <si>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</si>
  <si>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</si>
  <si>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</si>
  <si>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</si>
  <si>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</si>
  <si>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</si>
  <si>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</si>
  <si>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</si>
  <si>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</si>
  <si>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</si>
  <si>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</si>
  <si>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</si>
  <si>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</si>
  <si>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</si>
  <si>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</si>
  <si>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</si>
  <si>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</si>
  <si>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</si>
  <si>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</si>
  <si>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</si>
  <si>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</si>
  <si>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</si>
  <si>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</si>
  <si>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</si>
  <si>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</si>
  <si>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</si>
  <si>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</si>
  <si>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</si>
  <si>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</si>
  <si>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</si>
  <si>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</si>
  <si>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</si>
  <si>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</si>
  <si>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</si>
  <si>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</si>
  <si>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</si>
  <si>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</si>
  <si>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</si>
  <si>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</si>
  <si>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</si>
  <si>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</si>
  <si>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</si>
  <si>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</si>
  <si>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</si>
  <si>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</si>
  <si>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</si>
  <si>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</si>
  <si>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</si>
  <si>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</si>
  <si>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</si>
  <si>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</si>
  <si>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</si>
  <si>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</si>
  <si>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</si>
  <si>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</si>
  <si>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</si>
  <si>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</si>
  <si>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</si>
  <si>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</si>
  <si>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</si>
  <si>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</si>
  <si>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</si>
  <si>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</si>
  <si>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</si>
  <si>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</si>
  <si>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</si>
  <si>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</si>
  <si>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</si>
  <si>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</si>
  <si>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</si>
  <si>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</si>
  <si>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</si>
  <si>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</si>
  <si>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</si>
  <si>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</si>
  <si>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</si>
  <si>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</si>
  <si>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</si>
  <si>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</si>
  <si>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</si>
  <si>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</si>
  <si>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</si>
  <si>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</si>
  <si>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</si>
  <si>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Rio Grande do Sul  - Coleta de Resíduos Não-Perigosos - CNAE 38114</t>
  </si>
  <si>
    <t>Idade do veículo (ano)</t>
  </si>
  <si>
    <t>Idade do veículo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</si>
  <si>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</si>
  <si>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</si>
  <si>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</si>
  <si>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</si>
  <si>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</si>
  <si>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</si>
  <si>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</si>
  <si>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</si>
  <si>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</si>
  <si>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</si>
  <si>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</si>
  <si>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</si>
  <si>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</si>
  <si>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</si>
  <si>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</si>
  <si>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</si>
  <si>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</si>
  <si>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</si>
  <si>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</si>
  <si>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</si>
  <si>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</si>
  <si>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</si>
  <si>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</si>
  <si>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</si>
  <si>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</si>
  <si>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</si>
  <si>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</si>
  <si>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</si>
  <si>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</si>
  <si>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</si>
  <si>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</si>
  <si>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</si>
  <si>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</si>
  <si>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</si>
  <si>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</si>
  <si>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</si>
  <si>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</si>
  <si>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</si>
  <si>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</si>
  <si>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</si>
  <si>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</si>
  <si>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</si>
  <si>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</si>
  <si>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</si>
  <si>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</si>
  <si>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</si>
  <si>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</si>
  <si>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</si>
  <si>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</si>
  <si>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</si>
  <si>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</si>
  <si>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</si>
  <si>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</si>
  <si>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</si>
  <si>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</si>
  <si>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</si>
  <si>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</si>
  <si>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</si>
  <si>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</si>
  <si>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</si>
  <si>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</si>
  <si>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</si>
  <si>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</si>
  <si>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</si>
  <si>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</si>
  <si>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</si>
  <si>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</si>
  <si>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</si>
  <si>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</si>
  <si>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</si>
  <si>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</si>
  <si>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</si>
  <si>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</si>
  <si>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</si>
  <si>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</si>
  <si>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</si>
  <si>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</si>
  <si>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</si>
  <si>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</si>
  <si>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</si>
  <si>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</si>
  <si>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</si>
  <si>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</si>
  <si>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</si>
  <si>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</si>
  <si>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</si>
  <si>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</si>
  <si>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</si>
  <si>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</si>
  <si>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</si>
  <si>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frasco 2000g</t>
  </si>
  <si>
    <t xml:space="preserve">SINAPI-I  </t>
  </si>
  <si>
    <t>SINAPI-I</t>
  </si>
  <si>
    <t>Custo de aquisição do semirreboque basculante</t>
  </si>
  <si>
    <t>Vida útil do semirreboque basculante</t>
  </si>
  <si>
    <t xml:space="preserve">Idade do semirreboque basculante </t>
  </si>
  <si>
    <t xml:space="preserve">Depreciação do semirreboque basculante </t>
  </si>
  <si>
    <t xml:space="preserve">Depreciação mensal do semirreboque </t>
  </si>
  <si>
    <t>Transporte De Resíduos Sólidos Urbanos,Domiciliares E Comerciais</t>
  </si>
  <si>
    <t xml:space="preserve">1. Esta planilha é somente um modelo-base, devendo ser adaptada para cada caso concreto. </t>
  </si>
  <si>
    <t>Qualquer custo previsto no edital e não contemplado nesta planilha deverá ser devidamente incluído.</t>
  </si>
  <si>
    <t>2. Antes de preenchê-la, leia a Orientação Técnica - Serviço de coleta de resíduos sólidos domiciliares</t>
  </si>
  <si>
    <t>4. As células azuis deverão ter seus valores preenchidos em outra planilha do arquivo.</t>
  </si>
  <si>
    <r>
      <t xml:space="preserve">3.1. Veículo Coletor com Caçamba Basculante </t>
    </r>
    <r>
      <rPr>
        <sz val="10"/>
        <color indexed="10"/>
        <rFont val="Arial"/>
        <family val="2"/>
      </rPr>
      <t>55</t>
    </r>
    <r>
      <rPr>
        <sz val="10"/>
        <rFont val="Arial"/>
        <family val="2"/>
      </rPr>
      <t xml:space="preserve"> m³</t>
    </r>
  </si>
  <si>
    <t>1.1. Motorista Turno do Dia</t>
  </si>
  <si>
    <t>1.2. Vale Transporte</t>
  </si>
  <si>
    <t>1.3. Vale-refeição (diário)</t>
  </si>
  <si>
    <t>143,0 km (unidade transbordo - SANTA MARIA) - 26 viagens</t>
  </si>
  <si>
    <t>1.4. Auxílio Alimentação (mensal)</t>
  </si>
  <si>
    <t>Custo do jogo de pneus 295/80 R22,5</t>
  </si>
  <si>
    <t>Conforme legislação tributária municipal, definir estimativa de percentual da base de cálculo para o ISS:</t>
  </si>
  <si>
    <t>Sobre a base de cálculo, definir a respectiva alíquota do ISS (entre 2% e 5%):</t>
  </si>
  <si>
    <t>Capacidade de semirreboque</t>
  </si>
  <si>
    <t>Tributos - ICMS (Zerado até 31/12/2021 em virtude do Decreto Estadual nº 55.998/2021. Caso volte a ser cobrado, a planilha sofrerá repactuação)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</si>
</sst>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5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4" xfId="3" applyFont="1" applyFill="1" applyBorder="1" applyAlignment="1">
      <alignment horizontal="center" vertical="center"/>
    </xf>
    <xf numFmtId="165" fontId="3" fillId="2" borderId="4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5" fontId="6" fillId="0" borderId="6" xfId="3" applyFont="1" applyBorder="1" applyAlignment="1">
      <alignment vertical="center"/>
    </xf>
    <xf numFmtId="165" fontId="6" fillId="0" borderId="7" xfId="3" applyFont="1" applyBorder="1" applyAlignment="1">
      <alignment vertical="center"/>
    </xf>
    <xf numFmtId="165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6" fontId="6" fillId="0" borderId="1" xfId="3" applyNumberFormat="1" applyFont="1" applyBorder="1" applyAlignment="1">
      <alignment vertical="center"/>
    </xf>
    <xf numFmtId="165" fontId="6" fillId="0" borderId="0" xfId="3" applyFont="1"/>
    <xf numFmtId="165" fontId="0" fillId="0" borderId="9" xfId="3" applyFont="1" applyBorder="1" applyAlignment="1">
      <alignment vertical="center"/>
    </xf>
    <xf numFmtId="165" fontId="3" fillId="0" borderId="10" xfId="3" applyFont="1" applyBorder="1" applyAlignment="1">
      <alignment horizontal="center" vertical="center"/>
    </xf>
    <xf numFmtId="165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5" fontId="3" fillId="0" borderId="0" xfId="3" applyFont="1" applyAlignment="1">
      <alignment vertical="center"/>
    </xf>
    <xf numFmtId="165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5" fontId="0" fillId="0" borderId="8" xfId="3" applyFont="1" applyBorder="1" applyAlignment="1">
      <alignment vertical="center"/>
    </xf>
    <xf numFmtId="165" fontId="3" fillId="0" borderId="11" xfId="3" applyFont="1" applyBorder="1" applyAlignment="1">
      <alignment horizontal="right" vertical="center"/>
    </xf>
    <xf numFmtId="165" fontId="0" fillId="0" borderId="12" xfId="3" applyFont="1" applyBorder="1" applyAlignment="1">
      <alignment vertical="center"/>
    </xf>
    <xf numFmtId="165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5" fontId="13" fillId="2" borderId="15" xfId="3" applyFont="1" applyFill="1" applyBorder="1" applyAlignment="1">
      <alignment horizontal="center" vertical="center"/>
    </xf>
    <xf numFmtId="165" fontId="13" fillId="2" borderId="16" xfId="3" applyFont="1" applyFill="1" applyBorder="1" applyAlignment="1">
      <alignment horizontal="center" vertical="center"/>
    </xf>
    <xf numFmtId="165" fontId="3" fillId="0" borderId="17" xfId="3" applyFont="1" applyBorder="1" applyAlignment="1">
      <alignment horizontal="center" vertical="center"/>
    </xf>
    <xf numFmtId="165" fontId="1" fillId="0" borderId="12" xfId="3" applyFont="1" applyBorder="1" applyAlignment="1">
      <alignment horizontal="left" vertical="center"/>
    </xf>
    <xf numFmtId="165" fontId="6" fillId="0" borderId="8" xfId="3" applyFont="1" applyBorder="1" applyAlignment="1">
      <alignment vertical="center"/>
    </xf>
    <xf numFmtId="165" fontId="6" fillId="0" borderId="12" xfId="3" applyFont="1" applyBorder="1" applyAlignment="1">
      <alignment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5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5" fontId="6" fillId="0" borderId="17" xfId="3" applyFont="1" applyBorder="1" applyAlignment="1">
      <alignment vertical="center"/>
    </xf>
    <xf numFmtId="165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3" fillId="2" borderId="4" xfId="3" applyNumberFormat="1" applyFont="1" applyFill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165" fontId="11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5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1" xfId="3" applyNumberFormat="1" applyFont="1" applyBorder="1" applyAlignment="1">
      <alignment horizontal="center" vertical="center"/>
    </xf>
    <xf numFmtId="165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7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65" fontId="13" fillId="2" borderId="31" xfId="3" applyFont="1" applyFill="1" applyBorder="1" applyAlignment="1">
      <alignment horizontal="center" vertical="center"/>
    </xf>
    <xf numFmtId="165" fontId="6" fillId="0" borderId="0" xfId="3" applyFont="1" applyFill="1" applyAlignment="1">
      <alignment vertical="center"/>
    </xf>
    <xf numFmtId="165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4" fontId="3" fillId="0" borderId="32" xfId="0" applyNumberFormat="1" applyFont="1" applyBorder="1" applyAlignment="1">
      <alignment vertical="center"/>
    </xf>
    <xf numFmtId="165" fontId="3" fillId="0" borderId="33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7" xfId="3" applyFont="1" applyFill="1" applyBorder="1" applyAlignment="1">
      <alignment horizontal="center" vertical="center"/>
    </xf>
    <xf numFmtId="165" fontId="3" fillId="0" borderId="12" xfId="3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5" fontId="3" fillId="0" borderId="36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5" fontId="6" fillId="0" borderId="37" xfId="3" applyFont="1" applyBorder="1" applyAlignment="1">
      <alignment vertical="center"/>
    </xf>
    <xf numFmtId="165" fontId="6" fillId="0" borderId="38" xfId="3" applyFont="1" applyBorder="1" applyAlignment="1">
      <alignment vertical="center"/>
    </xf>
    <xf numFmtId="165" fontId="6" fillId="0" borderId="39" xfId="3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165" fontId="3" fillId="0" borderId="12" xfId="3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5" fontId="6" fillId="6" borderId="1" xfId="3" applyFont="1" applyFill="1" applyBorder="1" applyAlignment="1">
      <alignment horizontal="center" vertical="center"/>
    </xf>
    <xf numFmtId="165" fontId="6" fillId="6" borderId="1" xfId="3" applyFont="1" applyFill="1" applyBorder="1" applyAlignment="1">
      <alignment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7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0" fontId="18" fillId="0" borderId="12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18" xfId="0" applyFont="1" applyFill="1" applyBorder="1"/>
    <xf numFmtId="0" fontId="18" fillId="0" borderId="21" xfId="0" applyFont="1" applyBorder="1"/>
    <xf numFmtId="0" fontId="18" fillId="0" borderId="46" xfId="0" applyFont="1" applyBorder="1"/>
    <xf numFmtId="0" fontId="18" fillId="0" borderId="18" xfId="0" applyFont="1" applyBorder="1"/>
    <xf numFmtId="0" fontId="18" fillId="0" borderId="26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19" fillId="7" borderId="34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18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18" xfId="0" applyNumberFormat="1" applyFont="1" applyBorder="1" applyAlignment="1">
      <alignment horizontal="right" vertical="center"/>
    </xf>
    <xf numFmtId="0" fontId="19" fillId="5" borderId="2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18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23" fillId="9" borderId="34" xfId="0" applyFont="1" applyFill="1" applyBorder="1" applyAlignment="1">
      <alignment horizontal="left" vertical="center"/>
    </xf>
    <xf numFmtId="10" fontId="23" fillId="9" borderId="3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3" xfId="0" applyFont="1" applyBorder="1"/>
    <xf numFmtId="0" fontId="5" fillId="0" borderId="21" xfId="0" applyFont="1" applyBorder="1"/>
    <xf numFmtId="0" fontId="5" fillId="3" borderId="18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7" fillId="0" borderId="46" xfId="0" applyFont="1" applyBorder="1"/>
    <xf numFmtId="0" fontId="7" fillId="0" borderId="36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1" xfId="2" applyFont="1" applyBorder="1"/>
    <xf numFmtId="9" fontId="5" fillId="0" borderId="1" xfId="2" applyFont="1" applyBorder="1" applyAlignment="1">
      <alignment horizontal="center"/>
    </xf>
    <xf numFmtId="9" fontId="5" fillId="0" borderId="18" xfId="2" applyFont="1" applyBorder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0" borderId="18" xfId="0" applyFont="1" applyBorder="1"/>
    <xf numFmtId="0" fontId="5" fillId="0" borderId="22" xfId="0" applyFont="1" applyFill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10" fontId="5" fillId="0" borderId="25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8" xfId="2" applyNumberFormat="1" applyFont="1" applyBorder="1" applyAlignment="1">
      <alignment horizontal="right"/>
    </xf>
    <xf numFmtId="10" fontId="5" fillId="0" borderId="22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0" fontId="6" fillId="0" borderId="50" xfId="0" applyFont="1" applyBorder="1"/>
    <xf numFmtId="0" fontId="20" fillId="0" borderId="50" xfId="0" applyFont="1" applyBorder="1" applyAlignment="1">
      <alignment horizontal="justify"/>
    </xf>
    <xf numFmtId="0" fontId="20" fillId="0" borderId="51" xfId="0" applyFont="1" applyBorder="1" applyAlignment="1">
      <alignment horizontal="justify"/>
    </xf>
    <xf numFmtId="0" fontId="17" fillId="10" borderId="49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3" fillId="0" borderId="34" xfId="0" applyNumberFormat="1" applyFont="1" applyBorder="1" applyAlignment="1">
      <alignment vertical="center"/>
    </xf>
    <xf numFmtId="165" fontId="3" fillId="0" borderId="9" xfId="3" applyFont="1" applyBorder="1" applyAlignment="1">
      <alignment vertical="center"/>
    </xf>
    <xf numFmtId="165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8" xfId="3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7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2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165" fontId="3" fillId="0" borderId="52" xfId="3" applyFont="1" applyBorder="1" applyAlignment="1">
      <alignment horizontal="center" vertical="center"/>
    </xf>
    <xf numFmtId="165" fontId="3" fillId="0" borderId="52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1" xfId="0" applyFont="1" applyBorder="1"/>
    <xf numFmtId="0" fontId="7" fillId="0" borderId="1" xfId="0" applyFont="1" applyBorder="1"/>
    <xf numFmtId="0" fontId="7" fillId="0" borderId="18" xfId="0" applyFont="1" applyBorder="1"/>
    <xf numFmtId="0" fontId="5" fillId="0" borderId="21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0" fontId="24" fillId="0" borderId="18" xfId="3" applyNumberFormat="1" applyFont="1" applyBorder="1" applyAlignment="1">
      <alignment horizontal="center" vertical="center" wrapText="1"/>
    </xf>
    <xf numFmtId="171" fontId="5" fillId="0" borderId="18" xfId="0" applyNumberFormat="1" applyFont="1" applyBorder="1"/>
    <xf numFmtId="2" fontId="5" fillId="0" borderId="18" xfId="0" applyNumberFormat="1" applyFont="1" applyBorder="1"/>
    <xf numFmtId="0" fontId="5" fillId="0" borderId="22" xfId="0" applyFont="1" applyFill="1" applyBorder="1"/>
    <xf numFmtId="0" fontId="5" fillId="0" borderId="34" xfId="0" applyFont="1" applyBorder="1"/>
    <xf numFmtId="171" fontId="5" fillId="3" borderId="18" xfId="0" applyNumberFormat="1" applyFont="1" applyFill="1" applyBorder="1"/>
    <xf numFmtId="171" fontId="5" fillId="0" borderId="35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172" fontId="5" fillId="3" borderId="18" xfId="0" applyNumberFormat="1" applyFont="1" applyFill="1" applyBorder="1"/>
    <xf numFmtId="4" fontId="32" fillId="0" borderId="0" xfId="0" applyNumberFormat="1" applyFont="1" applyBorder="1" applyAlignment="1">
      <alignment vertical="center"/>
    </xf>
    <xf numFmtId="0" fontId="5" fillId="0" borderId="18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69" fontId="7" fillId="0" borderId="18" xfId="0" applyNumberFormat="1" applyFont="1" applyBorder="1"/>
    <xf numFmtId="9" fontId="18" fillId="0" borderId="18" xfId="2" applyFont="1" applyBorder="1"/>
    <xf numFmtId="10" fontId="18" fillId="0" borderId="18" xfId="2" applyNumberFormat="1" applyFont="1" applyBorder="1"/>
    <xf numFmtId="9" fontId="7" fillId="0" borderId="29" xfId="2" applyFont="1" applyBorder="1"/>
    <xf numFmtId="0" fontId="5" fillId="0" borderId="53" xfId="0" applyFont="1" applyBorder="1"/>
    <xf numFmtId="165" fontId="1" fillId="3" borderId="2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0" xfId="3" applyFont="1" applyAlignment="1">
      <alignment vertical="center"/>
    </xf>
    <xf numFmtId="14" fontId="6" fillId="0" borderId="0" xfId="0" applyNumberFormat="1" applyFont="1" applyAlignment="1">
      <alignment vertical="center"/>
    </xf>
    <xf numFmtId="4" fontId="33" fillId="0" borderId="0" xfId="0" applyNumberFormat="1" applyFont="1" applyBorder="1" applyAlignment="1">
      <alignment vertical="center"/>
    </xf>
    <xf numFmtId="4" fontId="33" fillId="0" borderId="0" xfId="0" applyNumberFormat="1" applyFont="1" applyBorder="1" applyAlignment="1">
      <alignment horizontal="center" vertical="center" wrapText="1"/>
    </xf>
    <xf numFmtId="4" fontId="33" fillId="0" borderId="27" xfId="0" applyNumberFormat="1" applyFont="1" applyBorder="1" applyAlignment="1">
      <alignment horizontal="center" vertical="center" wrapText="1"/>
    </xf>
    <xf numFmtId="0" fontId="34" fillId="0" borderId="0" xfId="0" applyFont="1"/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3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5" fontId="3" fillId="2" borderId="0" xfId="3" applyFont="1" applyFill="1" applyBorder="1" applyAlignment="1">
      <alignment vertical="center"/>
    </xf>
    <xf numFmtId="0" fontId="1" fillId="0" borderId="1" xfId="0" applyFont="1" applyBorder="1"/>
    <xf numFmtId="0" fontId="0" fillId="0" borderId="54" xfId="0" applyBorder="1" applyAlignment="1">
      <alignment vertical="center"/>
    </xf>
    <xf numFmtId="4" fontId="36" fillId="0" borderId="55" xfId="0" applyNumberFormat="1" applyFont="1" applyBorder="1" applyAlignment="1">
      <alignment horizontal="justify" vertical="center" wrapText="1"/>
    </xf>
    <xf numFmtId="4" fontId="36" fillId="0" borderId="56" xfId="0" applyNumberFormat="1" applyFont="1" applyBorder="1" applyAlignment="1">
      <alignment horizontal="justify" vertical="center" wrapText="1"/>
    </xf>
    <xf numFmtId="10" fontId="0" fillId="11" borderId="57" xfId="3" applyNumberFormat="1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4" fontId="36" fillId="0" borderId="59" xfId="0" applyNumberFormat="1" applyFont="1" applyBorder="1" applyAlignment="1">
      <alignment horizontal="justify" vertical="center" wrapText="1"/>
    </xf>
    <xf numFmtId="4" fontId="36" fillId="0" borderId="60" xfId="0" applyNumberFormat="1" applyFont="1" applyBorder="1" applyAlignment="1">
      <alignment horizontal="justify" vertical="center" wrapText="1"/>
    </xf>
    <xf numFmtId="10" fontId="0" fillId="11" borderId="61" xfId="3" applyNumberFormat="1" applyFont="1" applyFill="1" applyBorder="1" applyAlignment="1">
      <alignment vertical="center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5" fontId="3" fillId="0" borderId="12" xfId="3" applyFont="1" applyBorder="1" applyAlignment="1">
      <alignment horizontal="left" vertical="center"/>
    </xf>
    <xf numFmtId="165" fontId="3" fillId="0" borderId="8" xfId="3" applyFont="1" applyBorder="1" applyAlignment="1">
      <alignment horizontal="left" vertical="center"/>
    </xf>
    <xf numFmtId="0" fontId="17" fillId="8" borderId="23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165" fontId="3" fillId="0" borderId="5" xfId="3" applyFont="1" applyBorder="1" applyAlignment="1">
      <alignment horizontal="center" vertical="center"/>
    </xf>
    <xf numFmtId="165" fontId="3" fillId="0" borderId="6" xfId="3" applyFont="1" applyBorder="1" applyAlignment="1">
      <alignment horizontal="center" vertical="center"/>
    </xf>
    <xf numFmtId="165" fontId="3" fillId="0" borderId="41" xfId="3" applyFont="1" applyBorder="1" applyAlignment="1">
      <alignment horizontal="center" vertical="center"/>
    </xf>
    <xf numFmtId="165" fontId="4" fillId="8" borderId="5" xfId="3" applyFont="1" applyFill="1" applyBorder="1" applyAlignment="1">
      <alignment horizontal="center" vertical="center"/>
    </xf>
    <xf numFmtId="165" fontId="4" fillId="8" borderId="6" xfId="3" applyFont="1" applyFill="1" applyBorder="1" applyAlignment="1">
      <alignment horizontal="center" vertical="center"/>
    </xf>
    <xf numFmtId="165" fontId="4" fillId="8" borderId="7" xfId="3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left" vertical="center" wrapText="1"/>
    </xf>
    <xf numFmtId="0" fontId="17" fillId="10" borderId="17" xfId="0" applyFont="1" applyFill="1" applyBorder="1" applyAlignment="1">
      <alignment horizontal="center"/>
    </xf>
    <xf numFmtId="0" fontId="17" fillId="10" borderId="4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4" fontId="32" fillId="0" borderId="0" xfId="0" applyNumberFormat="1" applyFont="1" applyBorder="1" applyAlignment="1">
      <alignment horizontal="left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24"/>
  <sheetViews>
    <sheetView view="pageBreakPreview" topLeftCell="A43" zoomScaleNormal="100" zoomScaleSheetLayoutView="100" workbookViewId="0">
      <selection activeCell="A36" sqref="A36"/>
    </sheetView>
  </sheetViews>
  <sheetFormatPr defaultRowHeight="12.75" x14ac:dyDescent="0.2"/>
  <cols>
    <col min="1" max="1" width="44.5703125" style="8" customWidth="1"/>
    <col min="2" max="2" width="16" style="8" bestFit="1" customWidth="1"/>
    <col min="3" max="3" width="11.85546875" style="8" customWidth="1"/>
    <col min="4" max="4" width="14.7109375" style="9" customWidth="1"/>
    <col min="5" max="5" width="15.42578125" style="9" customWidth="1"/>
    <col min="6" max="6" width="13.28515625" style="9" customWidth="1"/>
    <col min="7" max="7" width="11.7109375" style="9" customWidth="1"/>
    <col min="8" max="8" width="10.28515625" style="8" bestFit="1" customWidth="1"/>
    <col min="9" max="9" width="14.5703125" style="8" customWidth="1"/>
    <col min="10" max="10" width="13.42578125" style="8" customWidth="1"/>
    <col min="11" max="16384" width="9.140625" style="8"/>
  </cols>
  <sheetData>
    <row r="1" spans="1:7" s="3" customFormat="1" ht="16.5" customHeight="1" x14ac:dyDescent="0.2">
      <c r="A1" s="312" t="s">
        <v>200</v>
      </c>
      <c r="B1" s="6"/>
      <c r="C1" s="6"/>
      <c r="D1" s="305"/>
      <c r="E1" s="305"/>
      <c r="F1" s="305"/>
      <c r="G1" s="5"/>
    </row>
    <row r="2" spans="1:7" s="3" customFormat="1" ht="16.5" customHeight="1" x14ac:dyDescent="0.2">
      <c r="A2" s="294" t="s">
        <v>304</v>
      </c>
      <c r="B2" s="6"/>
      <c r="C2" s="6"/>
      <c r="D2" s="305"/>
      <c r="E2" s="305"/>
      <c r="F2" s="305"/>
      <c r="G2" s="5"/>
    </row>
    <row r="3" spans="1:7" s="3" customFormat="1" ht="16.5" customHeight="1" x14ac:dyDescent="0.2">
      <c r="A3" s="294" t="s">
        <v>305</v>
      </c>
      <c r="B3" s="6"/>
      <c r="C3" s="6"/>
      <c r="D3" s="305"/>
      <c r="E3" s="305"/>
      <c r="F3" s="305"/>
      <c r="G3" s="5"/>
    </row>
    <row r="4" spans="1:7" s="3" customFormat="1" ht="16.5" customHeight="1" x14ac:dyDescent="0.2">
      <c r="A4" s="294" t="s">
        <v>306</v>
      </c>
      <c r="B4" s="6"/>
      <c r="C4" s="6"/>
      <c r="D4" s="305"/>
      <c r="E4" s="305"/>
      <c r="F4" s="305"/>
      <c r="G4" s="5"/>
    </row>
    <row r="5" spans="1:7" s="3" customFormat="1" ht="16.5" customHeight="1" x14ac:dyDescent="0.2">
      <c r="A5" s="313" t="s">
        <v>278</v>
      </c>
      <c r="C5" s="137"/>
      <c r="D5" s="137"/>
      <c r="E5" s="137"/>
      <c r="F5" s="137"/>
      <c r="G5" s="5"/>
    </row>
    <row r="6" spans="1:7" s="3" customFormat="1" ht="16.5" customHeight="1" x14ac:dyDescent="0.2">
      <c r="A6" s="314" t="s">
        <v>307</v>
      </c>
      <c r="B6" s="137"/>
      <c r="C6" s="137"/>
      <c r="D6" s="137"/>
      <c r="E6" s="137"/>
      <c r="F6" s="137"/>
      <c r="G6" s="5"/>
    </row>
    <row r="7" spans="1:7" s="3" customFormat="1" ht="16.5" customHeight="1" x14ac:dyDescent="0.2">
      <c r="A7" s="315"/>
      <c r="B7" s="137"/>
      <c r="C7" s="137"/>
      <c r="D7" s="137"/>
      <c r="E7" s="137"/>
      <c r="F7" s="137"/>
      <c r="G7" s="5"/>
    </row>
    <row r="8" spans="1:7" s="3" customFormat="1" ht="16.5" customHeight="1" x14ac:dyDescent="0.2">
      <c r="A8" s="294" t="s">
        <v>285</v>
      </c>
      <c r="B8" s="137"/>
      <c r="C8" s="137"/>
      <c r="D8" s="137"/>
      <c r="E8" s="137"/>
      <c r="F8" s="137"/>
      <c r="G8" s="5"/>
    </row>
    <row r="9" spans="1:7" s="3" customFormat="1" ht="16.5" customHeight="1" x14ac:dyDescent="0.2">
      <c r="A9" s="294" t="s">
        <v>282</v>
      </c>
      <c r="B9" s="137"/>
      <c r="C9" s="137"/>
      <c r="D9" s="137"/>
      <c r="E9" s="137"/>
      <c r="F9" s="137"/>
      <c r="G9" s="5"/>
    </row>
    <row r="10" spans="1:7" s="3" customFormat="1" ht="16.5" customHeight="1" thickBot="1" x14ac:dyDescent="0.25">
      <c r="A10" s="6"/>
      <c r="B10" s="4"/>
      <c r="C10" s="4"/>
      <c r="D10" s="5"/>
      <c r="E10" s="5"/>
      <c r="F10" s="5"/>
      <c r="G10" s="5"/>
    </row>
    <row r="11" spans="1:7" s="7" customFormat="1" ht="18" x14ac:dyDescent="0.2">
      <c r="A11" s="333" t="s">
        <v>303</v>
      </c>
      <c r="B11" s="334"/>
      <c r="C11" s="334"/>
      <c r="D11" s="334"/>
      <c r="E11" s="334"/>
      <c r="F11" s="335"/>
      <c r="G11" s="35"/>
    </row>
    <row r="12" spans="1:7" s="7" customFormat="1" ht="21.75" customHeight="1" x14ac:dyDescent="0.2">
      <c r="A12" s="336" t="s">
        <v>43</v>
      </c>
      <c r="B12" s="337"/>
      <c r="C12" s="337"/>
      <c r="D12" s="337"/>
      <c r="E12" s="337"/>
      <c r="F12" s="338"/>
      <c r="G12" s="35"/>
    </row>
    <row r="13" spans="1:7" s="3" customFormat="1" ht="10.9" customHeight="1" thickBot="1" x14ac:dyDescent="0.25">
      <c r="A13" s="149"/>
      <c r="B13" s="150"/>
      <c r="C13" s="150"/>
      <c r="D13" s="151"/>
      <c r="E13" s="151"/>
      <c r="F13" s="152"/>
      <c r="G13" s="5"/>
    </row>
    <row r="14" spans="1:7" s="3" customFormat="1" ht="15.75" customHeight="1" thickBot="1" x14ac:dyDescent="0.25">
      <c r="A14" s="342" t="s">
        <v>199</v>
      </c>
      <c r="B14" s="343"/>
      <c r="C14" s="343"/>
      <c r="D14" s="343"/>
      <c r="E14" s="343"/>
      <c r="F14" s="344"/>
      <c r="G14" s="5"/>
    </row>
    <row r="15" spans="1:7" s="3" customFormat="1" ht="15.75" customHeight="1" x14ac:dyDescent="0.2">
      <c r="A15" s="62" t="s">
        <v>198</v>
      </c>
      <c r="B15" s="38"/>
      <c r="C15" s="38"/>
      <c r="D15" s="252"/>
      <c r="E15" s="114" t="s">
        <v>38</v>
      </c>
      <c r="F15" s="39" t="s">
        <v>2</v>
      </c>
      <c r="G15" s="5"/>
    </row>
    <row r="16" spans="1:7" s="10" customFormat="1" ht="15.75" customHeight="1" x14ac:dyDescent="0.2">
      <c r="A16" s="124" t="str">
        <f>A53</f>
        <v>1. Mão-de-obra</v>
      </c>
      <c r="B16" s="125"/>
      <c r="C16" s="126"/>
      <c r="D16" s="126"/>
      <c r="E16" s="249">
        <f>+F144</f>
        <v>5413.7758072105598</v>
      </c>
      <c r="F16" s="127">
        <f>IFERROR(E16/$E$36,0)</f>
        <v>8.4899885652162277E-2</v>
      </c>
      <c r="G16" s="42"/>
    </row>
    <row r="17" spans="1:7" s="3" customFormat="1" ht="15.75" hidden="1" customHeight="1" x14ac:dyDescent="0.2">
      <c r="A17" s="47" t="str">
        <f>A55</f>
        <v>1.1. Coletor Turno Dia</v>
      </c>
      <c r="B17" s="43"/>
      <c r="C17" s="45"/>
      <c r="D17" s="45"/>
      <c r="E17" s="250">
        <f>F66</f>
        <v>0</v>
      </c>
      <c r="F17" s="56">
        <f>IFERROR(E17/$E$36,0)</f>
        <v>0</v>
      </c>
      <c r="G17" s="5"/>
    </row>
    <row r="18" spans="1:7" s="3" customFormat="1" ht="15.75" hidden="1" customHeight="1" x14ac:dyDescent="0.2">
      <c r="A18" s="47" t="str">
        <f>A68</f>
        <v>1.2. Coletor Turno Noite</v>
      </c>
      <c r="B18" s="43"/>
      <c r="C18" s="45"/>
      <c r="D18" s="45"/>
      <c r="E18" s="250">
        <f>F85</f>
        <v>0</v>
      </c>
      <c r="F18" s="56">
        <f t="shared" ref="F18:F35" si="0">IFERROR(E18/$E$36,0)</f>
        <v>0</v>
      </c>
      <c r="G18" s="5"/>
    </row>
    <row r="19" spans="1:7" s="3" customFormat="1" ht="15.75" customHeight="1" x14ac:dyDescent="0.2">
      <c r="A19" s="47" t="str">
        <f>A87</f>
        <v>1.1. Motorista Turno do Dia</v>
      </c>
      <c r="B19" s="43"/>
      <c r="C19" s="45"/>
      <c r="D19" s="45"/>
      <c r="E19" s="250">
        <f>F100</f>
        <v>4697.3220072105596</v>
      </c>
      <c r="F19" s="56">
        <f t="shared" si="0"/>
        <v>7.3664317748880728E-2</v>
      </c>
      <c r="G19" s="5"/>
    </row>
    <row r="20" spans="1:7" s="3" customFormat="1" ht="15.75" hidden="1" customHeight="1" x14ac:dyDescent="0.2">
      <c r="A20" s="47" t="str">
        <f>A102</f>
        <v>1.4. Motorista Turno Noite</v>
      </c>
      <c r="B20" s="43"/>
      <c r="C20" s="45"/>
      <c r="D20" s="45"/>
      <c r="E20" s="250">
        <f>F121</f>
        <v>0</v>
      </c>
      <c r="F20" s="56">
        <f t="shared" si="0"/>
        <v>0</v>
      </c>
      <c r="G20" s="5"/>
    </row>
    <row r="21" spans="1:7" s="3" customFormat="1" ht="15.75" customHeight="1" x14ac:dyDescent="0.2">
      <c r="A21" s="47" t="str">
        <f>A123</f>
        <v>1.2. Vale Transporte</v>
      </c>
      <c r="B21" s="43"/>
      <c r="C21" s="45"/>
      <c r="D21" s="45"/>
      <c r="E21" s="250">
        <f>F129</f>
        <v>79.593799999999987</v>
      </c>
      <c r="F21" s="56">
        <f t="shared" si="0"/>
        <v>1.2482054594172172E-3</v>
      </c>
      <c r="G21" s="5"/>
    </row>
    <row r="22" spans="1:7" s="3" customFormat="1" ht="15.75" customHeight="1" x14ac:dyDescent="0.2">
      <c r="A22" s="47" t="str">
        <f>A131</f>
        <v>1.3. Vale-refeição (diário)</v>
      </c>
      <c r="B22" s="43"/>
      <c r="C22" s="45"/>
      <c r="D22" s="45"/>
      <c r="E22" s="250">
        <f>F135</f>
        <v>540.02</v>
      </c>
      <c r="F22" s="56">
        <f t="shared" si="0"/>
        <v>8.468698720182799E-3</v>
      </c>
      <c r="G22" s="5"/>
    </row>
    <row r="23" spans="1:7" s="3" customFormat="1" ht="15.75" customHeight="1" x14ac:dyDescent="0.2">
      <c r="A23" s="47" t="str">
        <f>A137</f>
        <v>1.4. Auxílio Alimentação (mensal)</v>
      </c>
      <c r="B23" s="43"/>
      <c r="C23" s="45"/>
      <c r="D23" s="45"/>
      <c r="E23" s="250">
        <f>F141</f>
        <v>96.84</v>
      </c>
      <c r="F23" s="56">
        <f t="shared" si="0"/>
        <v>1.5186637236815348E-3</v>
      </c>
      <c r="G23" s="5"/>
    </row>
    <row r="24" spans="1:7" s="10" customFormat="1" ht="15.75" customHeight="1" x14ac:dyDescent="0.2">
      <c r="A24" s="331" t="str">
        <f>A146</f>
        <v>2. Uniformes e Equipamentos de Proteção Individual</v>
      </c>
      <c r="B24" s="332"/>
      <c r="C24" s="332"/>
      <c r="D24" s="126"/>
      <c r="E24" s="249">
        <f>+F178</f>
        <v>108.186875</v>
      </c>
      <c r="F24" s="127">
        <f t="shared" si="0"/>
        <v>1.6966076253714243E-3</v>
      </c>
      <c r="G24" s="42"/>
    </row>
    <row r="25" spans="1:7" s="10" customFormat="1" ht="15.75" customHeight="1" x14ac:dyDescent="0.2">
      <c r="A25" s="135" t="str">
        <f>A180</f>
        <v>3. Veículos e Equipamentos</v>
      </c>
      <c r="B25" s="136"/>
      <c r="C25" s="126"/>
      <c r="D25" s="126"/>
      <c r="E25" s="249">
        <f>+F257</f>
        <v>45513.973911250003</v>
      </c>
      <c r="F25" s="127">
        <f t="shared" si="0"/>
        <v>0.71375899524579878</v>
      </c>
      <c r="G25" s="42"/>
    </row>
    <row r="26" spans="1:7" s="3" customFormat="1" ht="15.75" customHeight="1" x14ac:dyDescent="0.2">
      <c r="A26" s="63" t="str">
        <f>A182</f>
        <v>3.1. Veículo Coletor com Caçamba Basculante 55 m³</v>
      </c>
      <c r="B26" s="44"/>
      <c r="C26" s="45"/>
      <c r="D26" s="45"/>
      <c r="E26" s="250">
        <f>SUM(E27:E32)</f>
        <v>45513.973911250003</v>
      </c>
      <c r="F26" s="142">
        <f t="shared" si="0"/>
        <v>0.71375899524579878</v>
      </c>
      <c r="G26" s="5"/>
    </row>
    <row r="27" spans="1:7" s="3" customFormat="1" ht="15.75" customHeight="1" x14ac:dyDescent="0.2">
      <c r="A27" s="63" t="str">
        <f>A184</f>
        <v>3.1.1. Depreciação</v>
      </c>
      <c r="B27" s="44"/>
      <c r="C27" s="45"/>
      <c r="D27" s="45"/>
      <c r="E27" s="250">
        <f>F198</f>
        <v>4263.8583333333336</v>
      </c>
      <c r="F27" s="142">
        <f t="shared" si="0"/>
        <v>6.6866656069295149E-2</v>
      </c>
      <c r="G27" s="5"/>
    </row>
    <row r="28" spans="1:7" s="3" customFormat="1" ht="15.75" customHeight="1" x14ac:dyDescent="0.2">
      <c r="A28" s="63" t="str">
        <f>A200</f>
        <v>3.1.2. Remuneração do Capital</v>
      </c>
      <c r="B28" s="44"/>
      <c r="C28" s="45"/>
      <c r="D28" s="45"/>
      <c r="E28" s="250">
        <f>F214</f>
        <v>3582.7710729166665</v>
      </c>
      <c r="F28" s="142">
        <f>IFERROR(E28/$E$36,0)</f>
        <v>5.6185713121583145E-2</v>
      </c>
      <c r="G28" s="5"/>
    </row>
    <row r="29" spans="1:7" s="3" customFormat="1" ht="15.75" customHeight="1" x14ac:dyDescent="0.2">
      <c r="A29" s="63" t="str">
        <f>A216</f>
        <v>3.1.3. Impostos e Seguros</v>
      </c>
      <c r="B29" s="44"/>
      <c r="C29" s="45"/>
      <c r="D29" s="45"/>
      <c r="E29" s="250">
        <f>F222</f>
        <v>481.40499999999997</v>
      </c>
      <c r="F29" s="142">
        <f t="shared" si="0"/>
        <v>7.5494868845405738E-3</v>
      </c>
      <c r="G29" s="5"/>
    </row>
    <row r="30" spans="1:7" s="3" customFormat="1" ht="15.75" customHeight="1" x14ac:dyDescent="0.2">
      <c r="A30" s="63" t="str">
        <f>A224</f>
        <v>3.1.4. Consumos</v>
      </c>
      <c r="B30" s="44"/>
      <c r="C30" s="45"/>
      <c r="D30" s="45"/>
      <c r="E30" s="250">
        <f>F240</f>
        <v>20451.965104999999</v>
      </c>
      <c r="F30" s="142">
        <f t="shared" si="0"/>
        <v>0.32073169643705191</v>
      </c>
      <c r="G30" s="5"/>
    </row>
    <row r="31" spans="1:7" s="3" customFormat="1" ht="15.75" customHeight="1" x14ac:dyDescent="0.2">
      <c r="A31" s="63" t="str">
        <f>A242</f>
        <v>3.1.5. Manutenção</v>
      </c>
      <c r="B31" s="44"/>
      <c r="C31" s="45"/>
      <c r="D31" s="45"/>
      <c r="E31" s="250">
        <f>F245</f>
        <v>5577</v>
      </c>
      <c r="F31" s="142">
        <f t="shared" si="0"/>
        <v>8.7459599204584043E-2</v>
      </c>
      <c r="G31" s="5"/>
    </row>
    <row r="32" spans="1:7" s="3" customFormat="1" ht="15.75" customHeight="1" x14ac:dyDescent="0.2">
      <c r="A32" s="63" t="str">
        <f>A247</f>
        <v>3.1.6. Pneus</v>
      </c>
      <c r="B32" s="44"/>
      <c r="C32" s="45"/>
      <c r="D32" s="45"/>
      <c r="E32" s="250">
        <f>F254</f>
        <v>11156.974399999999</v>
      </c>
      <c r="F32" s="142">
        <f t="shared" si="0"/>
        <v>0.17496584352874386</v>
      </c>
      <c r="G32" s="5"/>
    </row>
    <row r="33" spans="1:7" s="10" customFormat="1" ht="15.75" customHeight="1" x14ac:dyDescent="0.2">
      <c r="A33" s="135" t="str">
        <f>A259</f>
        <v>4. Ferramentas e Materiais de Consumo</v>
      </c>
      <c r="B33" s="136"/>
      <c r="C33" s="126"/>
      <c r="D33" s="126"/>
      <c r="E33" s="249">
        <f>+F269</f>
        <v>18.174999999999997</v>
      </c>
      <c r="F33" s="127">
        <f t="shared" si="0"/>
        <v>2.850238865955379E-4</v>
      </c>
      <c r="G33" s="42"/>
    </row>
    <row r="34" spans="1:7" s="10" customFormat="1" ht="15.75" customHeight="1" x14ac:dyDescent="0.2">
      <c r="A34" s="135" t="str">
        <f>A271</f>
        <v>5. Monitoramento da Frota</v>
      </c>
      <c r="B34" s="136"/>
      <c r="C34" s="126"/>
      <c r="D34" s="126"/>
      <c r="E34" s="249">
        <f>+F280</f>
        <v>0</v>
      </c>
      <c r="F34" s="127">
        <f t="shared" si="0"/>
        <v>0</v>
      </c>
      <c r="G34" s="42"/>
    </row>
    <row r="35" spans="1:7" s="10" customFormat="1" ht="15.75" customHeight="1" thickBot="1" x14ac:dyDescent="0.25">
      <c r="A35" s="135" t="str">
        <f>A284</f>
        <v>6. Benefícios e Despesas Indiretas - BDI</v>
      </c>
      <c r="B35" s="136"/>
      <c r="C35" s="126"/>
      <c r="D35" s="126"/>
      <c r="E35" s="251">
        <f>+F290</f>
        <v>12712.473786771679</v>
      </c>
      <c r="F35" s="127">
        <f t="shared" si="0"/>
        <v>0.19935948759007205</v>
      </c>
      <c r="G35" s="42"/>
    </row>
    <row r="36" spans="1:7" s="3" customFormat="1" ht="15.75" customHeight="1" thickBot="1" x14ac:dyDescent="0.25">
      <c r="A36" s="40" t="s">
        <v>234</v>
      </c>
      <c r="B36" s="41"/>
      <c r="C36" s="25"/>
      <c r="D36" s="25"/>
      <c r="E36" s="113">
        <f>E16+E24+E25+E33+E34+E35</f>
        <v>63766.585380232238</v>
      </c>
      <c r="F36" s="141">
        <f>F16+F24+F25+F33+F34+F35</f>
        <v>1</v>
      </c>
      <c r="G36" s="5"/>
    </row>
    <row r="38" spans="1:7" ht="13.5" thickBot="1" x14ac:dyDescent="0.25"/>
    <row r="39" spans="1:7" s="3" customFormat="1" ht="15" customHeight="1" thickBot="1" x14ac:dyDescent="0.25">
      <c r="A39" s="342" t="s">
        <v>97</v>
      </c>
      <c r="B39" s="343"/>
      <c r="C39" s="343"/>
      <c r="D39" s="343"/>
      <c r="E39" s="344"/>
      <c r="F39" s="9"/>
      <c r="G39" s="5"/>
    </row>
    <row r="40" spans="1:7" s="3" customFormat="1" ht="15" customHeight="1" thickBot="1" x14ac:dyDescent="0.25">
      <c r="A40" s="339" t="s">
        <v>39</v>
      </c>
      <c r="B40" s="340"/>
      <c r="C40" s="340"/>
      <c r="D40" s="341"/>
      <c r="E40" s="46" t="s">
        <v>40</v>
      </c>
      <c r="F40" s="9"/>
      <c r="G40" s="5"/>
    </row>
    <row r="41" spans="1:7" s="3" customFormat="1" ht="15" customHeight="1" x14ac:dyDescent="0.2">
      <c r="A41" s="71" t="str">
        <f>+A55</f>
        <v>1.1. Coletor Turno Dia</v>
      </c>
      <c r="B41" s="72"/>
      <c r="C41" s="72"/>
      <c r="D41" s="73"/>
      <c r="E41" s="74">
        <f>C65</f>
        <v>0</v>
      </c>
      <c r="F41" s="9"/>
      <c r="G41" s="5"/>
    </row>
    <row r="42" spans="1:7" s="3" customFormat="1" ht="15" customHeight="1" x14ac:dyDescent="0.2">
      <c r="A42" s="65" t="str">
        <f>+A68</f>
        <v>1.2. Coletor Turno Noite</v>
      </c>
      <c r="B42" s="64"/>
      <c r="C42" s="64"/>
      <c r="D42" s="75"/>
      <c r="E42" s="68">
        <f>C84</f>
        <v>0</v>
      </c>
      <c r="F42" s="9"/>
      <c r="G42" s="5"/>
    </row>
    <row r="43" spans="1:7" s="3" customFormat="1" ht="15" customHeight="1" x14ac:dyDescent="0.2">
      <c r="A43" s="65" t="str">
        <f>+A87</f>
        <v>1.1. Motorista Turno do Dia</v>
      </c>
      <c r="B43" s="64"/>
      <c r="C43" s="64"/>
      <c r="D43" s="75"/>
      <c r="E43" s="68">
        <f>C99</f>
        <v>1</v>
      </c>
      <c r="F43" s="9"/>
      <c r="G43" s="5"/>
    </row>
    <row r="44" spans="1:7" s="3" customFormat="1" ht="15" customHeight="1" x14ac:dyDescent="0.2">
      <c r="A44" s="65" t="str">
        <f>+A102</f>
        <v>1.4. Motorista Turno Noite</v>
      </c>
      <c r="B44" s="64"/>
      <c r="C44" s="64"/>
      <c r="D44" s="75"/>
      <c r="E44" s="68">
        <f>C120</f>
        <v>0</v>
      </c>
      <c r="F44" s="9"/>
      <c r="G44" s="5"/>
    </row>
    <row r="45" spans="1:7" s="3" customFormat="1" ht="15" customHeight="1" thickBot="1" x14ac:dyDescent="0.25">
      <c r="A45" s="69" t="s">
        <v>58</v>
      </c>
      <c r="B45" s="70"/>
      <c r="C45" s="70"/>
      <c r="D45" s="76"/>
      <c r="E45" s="77">
        <f>SUM(E41:E44)</f>
        <v>1</v>
      </c>
      <c r="F45" s="9"/>
      <c r="G45" s="5"/>
    </row>
    <row r="46" spans="1:7" s="3" customFormat="1" ht="15" customHeight="1" thickBot="1" x14ac:dyDescent="0.25">
      <c r="A46" s="128"/>
      <c r="B46" s="129"/>
      <c r="C46" s="57"/>
      <c r="D46" s="57"/>
      <c r="E46" s="130"/>
      <c r="F46" s="9"/>
      <c r="G46" s="5"/>
    </row>
    <row r="47" spans="1:7" s="3" customFormat="1" ht="15" customHeight="1" x14ac:dyDescent="0.2">
      <c r="A47" s="329" t="s">
        <v>55</v>
      </c>
      <c r="B47" s="330"/>
      <c r="C47" s="330"/>
      <c r="D47" s="330"/>
      <c r="E47" s="46" t="s">
        <v>40</v>
      </c>
      <c r="F47" s="8"/>
      <c r="G47" s="5"/>
    </row>
    <row r="48" spans="1:7" s="3" customFormat="1" ht="15" customHeight="1" thickBot="1" x14ac:dyDescent="0.25">
      <c r="A48" s="131" t="str">
        <f>+A182</f>
        <v>3.1. Veículo Coletor com Caçamba Basculante 55 m³</v>
      </c>
      <c r="B48" s="132"/>
      <c r="C48" s="132"/>
      <c r="D48" s="133"/>
      <c r="E48" s="134">
        <f>C197</f>
        <v>1</v>
      </c>
      <c r="F48" s="8"/>
      <c r="G48" s="5"/>
    </row>
    <row r="49" spans="1:7" s="3" customFormat="1" ht="15" customHeight="1" x14ac:dyDescent="0.2">
      <c r="A49" s="57"/>
      <c r="B49" s="57"/>
      <c r="C49" s="57"/>
      <c r="D49" s="52"/>
      <c r="E49" s="248"/>
      <c r="F49" s="8"/>
      <c r="G49" s="5"/>
    </row>
    <row r="50" spans="1:7" s="3" customFormat="1" ht="13.5" thickBot="1" x14ac:dyDescent="0.25">
      <c r="A50" s="57"/>
      <c r="B50" s="57"/>
      <c r="C50" s="57"/>
      <c r="D50" s="52"/>
      <c r="E50" s="66"/>
      <c r="F50" s="8"/>
      <c r="G50" s="5"/>
    </row>
    <row r="51" spans="1:7" s="10" customFormat="1" ht="15.75" customHeight="1" thickBot="1" x14ac:dyDescent="0.25">
      <c r="A51" s="253" t="s">
        <v>193</v>
      </c>
      <c r="B51" s="254">
        <v>1</v>
      </c>
      <c r="C51" s="34"/>
      <c r="D51" s="33"/>
      <c r="E51" s="154"/>
      <c r="G51" s="42"/>
    </row>
    <row r="52" spans="1:7" s="3" customFormat="1" ht="15.75" customHeight="1" x14ac:dyDescent="0.2">
      <c r="A52" s="57"/>
      <c r="B52" s="57"/>
      <c r="C52" s="57"/>
      <c r="D52" s="52"/>
      <c r="E52" s="66"/>
      <c r="F52" s="8"/>
      <c r="G52" s="5"/>
    </row>
    <row r="53" spans="1:7" ht="13.15" customHeight="1" x14ac:dyDescent="0.2">
      <c r="A53" s="10" t="s">
        <v>47</v>
      </c>
    </row>
    <row r="54" spans="1:7" ht="11.25" customHeight="1" x14ac:dyDescent="0.2"/>
    <row r="55" spans="1:7" ht="13.9" hidden="1" customHeight="1" thickBot="1" x14ac:dyDescent="0.25">
      <c r="A55" s="8" t="s">
        <v>100</v>
      </c>
    </row>
    <row r="56" spans="1:7" ht="13.9" hidden="1" customHeight="1" thickBot="1" x14ac:dyDescent="0.25">
      <c r="A56" s="58" t="s">
        <v>63</v>
      </c>
      <c r="B56" s="59" t="s">
        <v>64</v>
      </c>
      <c r="C56" s="59" t="s">
        <v>40</v>
      </c>
      <c r="D56" s="60" t="s">
        <v>230</v>
      </c>
      <c r="E56" s="60" t="s">
        <v>65</v>
      </c>
      <c r="F56" s="61" t="s">
        <v>66</v>
      </c>
    </row>
    <row r="57" spans="1:7" ht="13.15" hidden="1" customHeight="1" x14ac:dyDescent="0.2">
      <c r="A57" s="12" t="s">
        <v>208</v>
      </c>
      <c r="B57" s="13" t="s">
        <v>8</v>
      </c>
      <c r="C57" s="13">
        <v>1</v>
      </c>
      <c r="D57" s="85"/>
      <c r="E57" s="14">
        <f>C57*D57</f>
        <v>0</v>
      </c>
    </row>
    <row r="58" spans="1:7" hidden="1" x14ac:dyDescent="0.2">
      <c r="A58" s="15" t="s">
        <v>34</v>
      </c>
      <c r="B58" s="16" t="s">
        <v>0</v>
      </c>
      <c r="C58" s="86"/>
      <c r="D58" s="17">
        <f>D57/220*2</f>
        <v>0</v>
      </c>
      <c r="E58" s="17">
        <f>C58*D58</f>
        <v>0</v>
      </c>
      <c r="G58" s="9" t="s">
        <v>245</v>
      </c>
    </row>
    <row r="59" spans="1:7" ht="13.15" hidden="1" customHeight="1" x14ac:dyDescent="0.2">
      <c r="A59" s="15" t="s">
        <v>35</v>
      </c>
      <c r="B59" s="16" t="s">
        <v>0</v>
      </c>
      <c r="C59" s="86"/>
      <c r="D59" s="17">
        <f>D57/220*1.5</f>
        <v>0</v>
      </c>
      <c r="E59" s="17">
        <f>C59*D59</f>
        <v>0</v>
      </c>
      <c r="G59" s="9" t="s">
        <v>247</v>
      </c>
    </row>
    <row r="60" spans="1:7" ht="13.15" hidden="1" customHeight="1" x14ac:dyDescent="0.2">
      <c r="A60" s="15" t="s">
        <v>212</v>
      </c>
      <c r="B60" s="16" t="s">
        <v>33</v>
      </c>
      <c r="D60" s="17">
        <f>63/302*(SUM(E58:E59))</f>
        <v>0</v>
      </c>
      <c r="E60" s="17">
        <f>D60</f>
        <v>0</v>
      </c>
      <c r="G60" s="9" t="s">
        <v>211</v>
      </c>
    </row>
    <row r="61" spans="1:7" hidden="1" x14ac:dyDescent="0.2">
      <c r="A61" s="15" t="s">
        <v>1</v>
      </c>
      <c r="B61" s="16" t="s">
        <v>2</v>
      </c>
      <c r="C61" s="16">
        <v>40</v>
      </c>
      <c r="D61" s="81">
        <f>SUM(E57:E60)</f>
        <v>0</v>
      </c>
      <c r="E61" s="17">
        <f>C61*D61/100</f>
        <v>0</v>
      </c>
    </row>
    <row r="62" spans="1:7" hidden="1" x14ac:dyDescent="0.2">
      <c r="A62" s="115" t="s">
        <v>3</v>
      </c>
      <c r="B62" s="116"/>
      <c r="C62" s="116"/>
      <c r="D62" s="117"/>
      <c r="E62" s="118">
        <f>SUM(E57:E61)</f>
        <v>0</v>
      </c>
    </row>
    <row r="63" spans="1:7" hidden="1" x14ac:dyDescent="0.2">
      <c r="A63" s="15" t="s">
        <v>4</v>
      </c>
      <c r="B63" s="16" t="s">
        <v>2</v>
      </c>
      <c r="C63" s="139">
        <f>'2.Encargos Sociais'!$C$38*100</f>
        <v>70.595951999999997</v>
      </c>
      <c r="D63" s="17">
        <f>E62</f>
        <v>0</v>
      </c>
      <c r="E63" s="17">
        <f>D63*C63/100</f>
        <v>0</v>
      </c>
    </row>
    <row r="64" spans="1:7" hidden="1" x14ac:dyDescent="0.2">
      <c r="A64" s="115" t="s">
        <v>72</v>
      </c>
      <c r="B64" s="116"/>
      <c r="C64" s="116"/>
      <c r="D64" s="117"/>
      <c r="E64" s="118">
        <f>E62+E63</f>
        <v>0</v>
      </c>
    </row>
    <row r="65" spans="1:7" ht="13.5" hidden="1" thickBot="1" x14ac:dyDescent="0.25">
      <c r="A65" s="15" t="s">
        <v>5</v>
      </c>
      <c r="B65" s="16" t="s">
        <v>6</v>
      </c>
      <c r="C65" s="84"/>
      <c r="D65" s="17">
        <f>E64</f>
        <v>0</v>
      </c>
      <c r="E65" s="17">
        <f>C65*D65</f>
        <v>0</v>
      </c>
      <c r="G65" s="5"/>
    </row>
    <row r="66" spans="1:7" ht="13.9" hidden="1" customHeight="1" thickBot="1" x14ac:dyDescent="0.25">
      <c r="D66" s="122" t="s">
        <v>192</v>
      </c>
      <c r="E66" s="48">
        <f>$B$51</f>
        <v>1</v>
      </c>
      <c r="F66" s="123">
        <f>E65*E66</f>
        <v>0</v>
      </c>
      <c r="G66" s="5"/>
    </row>
    <row r="67" spans="1:7" ht="11.25" hidden="1" customHeight="1" x14ac:dyDescent="0.2"/>
    <row r="68" spans="1:7" ht="13.5" hidden="1" thickBot="1" x14ac:dyDescent="0.25">
      <c r="A68" s="8" t="s">
        <v>90</v>
      </c>
    </row>
    <row r="69" spans="1:7" ht="13.5" hidden="1" thickBot="1" x14ac:dyDescent="0.25">
      <c r="A69" s="58" t="s">
        <v>63</v>
      </c>
      <c r="B69" s="59" t="s">
        <v>64</v>
      </c>
      <c r="C69" s="59" t="s">
        <v>40</v>
      </c>
      <c r="D69" s="60" t="s">
        <v>230</v>
      </c>
      <c r="E69" s="60" t="s">
        <v>65</v>
      </c>
      <c r="F69" s="61" t="s">
        <v>66</v>
      </c>
    </row>
    <row r="70" spans="1:7" hidden="1" x14ac:dyDescent="0.2">
      <c r="A70" s="12" t="s">
        <v>208</v>
      </c>
      <c r="B70" s="13" t="s">
        <v>8</v>
      </c>
      <c r="C70" s="13">
        <v>1</v>
      </c>
      <c r="D70" s="14">
        <f>D57</f>
        <v>0</v>
      </c>
      <c r="E70" s="14">
        <f>C70*D70</f>
        <v>0</v>
      </c>
    </row>
    <row r="71" spans="1:7" hidden="1" x14ac:dyDescent="0.2">
      <c r="A71" s="15" t="s">
        <v>7</v>
      </c>
      <c r="B71" s="16" t="s">
        <v>98</v>
      </c>
      <c r="C71" s="86"/>
      <c r="D71" s="17"/>
      <c r="E71" s="17"/>
    </row>
    <row r="72" spans="1:7" hidden="1" x14ac:dyDescent="0.2">
      <c r="A72" s="15"/>
      <c r="B72" s="16" t="s">
        <v>102</v>
      </c>
      <c r="C72" s="119">
        <f>C71*8/7</f>
        <v>0</v>
      </c>
      <c r="D72" s="17">
        <f>D70/220*0.2</f>
        <v>0</v>
      </c>
      <c r="E72" s="17">
        <f>C72*D72</f>
        <v>0</v>
      </c>
    </row>
    <row r="73" spans="1:7" hidden="1" x14ac:dyDescent="0.2">
      <c r="A73" s="15" t="s">
        <v>34</v>
      </c>
      <c r="B73" s="16" t="s">
        <v>0</v>
      </c>
      <c r="C73" s="86"/>
      <c r="D73" s="17">
        <f>D70/220*2</f>
        <v>0</v>
      </c>
      <c r="E73" s="17">
        <f>C73*D73</f>
        <v>0</v>
      </c>
      <c r="G73" s="9" t="s">
        <v>245</v>
      </c>
    </row>
    <row r="74" spans="1:7" hidden="1" x14ac:dyDescent="0.2">
      <c r="A74" s="15" t="s">
        <v>99</v>
      </c>
      <c r="B74" s="16" t="s">
        <v>98</v>
      </c>
      <c r="C74" s="86"/>
      <c r="D74" s="17"/>
      <c r="E74" s="17"/>
      <c r="G74" s="9" t="s">
        <v>246</v>
      </c>
    </row>
    <row r="75" spans="1:7" hidden="1" x14ac:dyDescent="0.2">
      <c r="A75" s="15"/>
      <c r="B75" s="16" t="s">
        <v>102</v>
      </c>
      <c r="C75" s="119">
        <f>C74*8/7</f>
        <v>0</v>
      </c>
      <c r="D75" s="17">
        <f>D70/220*2*1.2</f>
        <v>0</v>
      </c>
      <c r="E75" s="17">
        <f>C75*D75</f>
        <v>0</v>
      </c>
      <c r="G75" s="9" t="s">
        <v>246</v>
      </c>
    </row>
    <row r="76" spans="1:7" hidden="1" x14ac:dyDescent="0.2">
      <c r="A76" s="15" t="s">
        <v>35</v>
      </c>
      <c r="B76" s="16" t="s">
        <v>0</v>
      </c>
      <c r="C76" s="86"/>
      <c r="D76" s="17">
        <f>D70/220*1.5</f>
        <v>0</v>
      </c>
      <c r="E76" s="17">
        <f>C76*D76</f>
        <v>0</v>
      </c>
      <c r="G76" s="9" t="s">
        <v>247</v>
      </c>
    </row>
    <row r="77" spans="1:7" hidden="1" x14ac:dyDescent="0.2">
      <c r="A77" s="15" t="s">
        <v>210</v>
      </c>
      <c r="B77" s="16" t="s">
        <v>98</v>
      </c>
      <c r="C77" s="86"/>
      <c r="D77" s="17"/>
      <c r="E77" s="17"/>
      <c r="G77" s="9" t="s">
        <v>248</v>
      </c>
    </row>
    <row r="78" spans="1:7" hidden="1" x14ac:dyDescent="0.2">
      <c r="A78" s="15"/>
      <c r="B78" s="16" t="s">
        <v>102</v>
      </c>
      <c r="C78" s="17">
        <f>C77*8/7</f>
        <v>0</v>
      </c>
      <c r="D78" s="17">
        <f>D70/220*1.5*1.2</f>
        <v>0</v>
      </c>
      <c r="E78" s="17">
        <f>C78*D78</f>
        <v>0</v>
      </c>
      <c r="G78" s="9" t="s">
        <v>248</v>
      </c>
    </row>
    <row r="79" spans="1:7" ht="13.15" hidden="1" customHeight="1" x14ac:dyDescent="0.2">
      <c r="A79" s="15" t="s">
        <v>212</v>
      </c>
      <c r="B79" s="16" t="s">
        <v>33</v>
      </c>
      <c r="D79" s="17">
        <f>63/302*(SUM(E73:E78))</f>
        <v>0</v>
      </c>
      <c r="E79" s="17">
        <f>D79</f>
        <v>0</v>
      </c>
      <c r="G79" s="9" t="s">
        <v>211</v>
      </c>
    </row>
    <row r="80" spans="1:7" hidden="1" x14ac:dyDescent="0.2">
      <c r="A80" s="15" t="s">
        <v>1</v>
      </c>
      <c r="B80" s="16" t="s">
        <v>2</v>
      </c>
      <c r="C80" s="16">
        <f>+C61</f>
        <v>40</v>
      </c>
      <c r="D80" s="81">
        <f>SUM(E70:E79)</f>
        <v>0</v>
      </c>
      <c r="E80" s="17">
        <f>C80*D80/100</f>
        <v>0</v>
      </c>
    </row>
    <row r="81" spans="1:7" hidden="1" x14ac:dyDescent="0.2">
      <c r="A81" s="115" t="s">
        <v>3</v>
      </c>
      <c r="B81" s="116"/>
      <c r="C81" s="116"/>
      <c r="D81" s="117"/>
      <c r="E81" s="118">
        <f>SUM(E70:E80)</f>
        <v>0</v>
      </c>
    </row>
    <row r="82" spans="1:7" hidden="1" x14ac:dyDescent="0.2">
      <c r="A82" s="15" t="s">
        <v>4</v>
      </c>
      <c r="B82" s="16" t="s">
        <v>2</v>
      </c>
      <c r="C82" s="139">
        <f>'2.Encargos Sociais'!$C$38*100</f>
        <v>70.595951999999997</v>
      </c>
      <c r="D82" s="17">
        <f>E81</f>
        <v>0</v>
      </c>
      <c r="E82" s="17">
        <f>D82*C82/100</f>
        <v>0</v>
      </c>
    </row>
    <row r="83" spans="1:7" hidden="1" x14ac:dyDescent="0.2">
      <c r="A83" s="115" t="s">
        <v>72</v>
      </c>
      <c r="B83" s="116"/>
      <c r="C83" s="116"/>
      <c r="D83" s="117"/>
      <c r="E83" s="118">
        <f>E81+E82</f>
        <v>0</v>
      </c>
    </row>
    <row r="84" spans="1:7" ht="13.5" hidden="1" thickBot="1" x14ac:dyDescent="0.25">
      <c r="A84" s="15" t="s">
        <v>5</v>
      </c>
      <c r="B84" s="16" t="s">
        <v>6</v>
      </c>
      <c r="C84" s="84"/>
      <c r="D84" s="17">
        <f>E83</f>
        <v>0</v>
      </c>
      <c r="E84" s="17">
        <f>C84*D84</f>
        <v>0</v>
      </c>
    </row>
    <row r="85" spans="1:7" ht="13.5" hidden="1" thickBot="1" x14ac:dyDescent="0.25">
      <c r="D85" s="122" t="s">
        <v>192</v>
      </c>
      <c r="E85" s="48">
        <f>$B$51</f>
        <v>1</v>
      </c>
      <c r="F85" s="123">
        <f>E84*E85</f>
        <v>0</v>
      </c>
    </row>
    <row r="86" spans="1:7" ht="11.25" hidden="1" customHeight="1" x14ac:dyDescent="0.2"/>
    <row r="87" spans="1:7" ht="13.5" thickBot="1" x14ac:dyDescent="0.25">
      <c r="A87" s="6" t="s">
        <v>309</v>
      </c>
    </row>
    <row r="88" spans="1:7" s="11" customFormat="1" ht="13.15" customHeight="1" thickBot="1" x14ac:dyDescent="0.25">
      <c r="A88" s="58" t="s">
        <v>63</v>
      </c>
      <c r="B88" s="59" t="s">
        <v>64</v>
      </c>
      <c r="C88" s="59" t="s">
        <v>40</v>
      </c>
      <c r="D88" s="60" t="s">
        <v>230</v>
      </c>
      <c r="E88" s="60" t="s">
        <v>65</v>
      </c>
      <c r="F88" s="61" t="s">
        <v>66</v>
      </c>
      <c r="G88" s="9"/>
    </row>
    <row r="89" spans="1:7" x14ac:dyDescent="0.2">
      <c r="A89" s="297" t="s">
        <v>283</v>
      </c>
      <c r="B89" s="13" t="s">
        <v>8</v>
      </c>
      <c r="C89" s="13">
        <v>1</v>
      </c>
      <c r="D89" s="85">
        <v>1966.77</v>
      </c>
      <c r="E89" s="14">
        <f>C89*D89</f>
        <v>1966.77</v>
      </c>
    </row>
    <row r="90" spans="1:7" x14ac:dyDescent="0.2">
      <c r="A90" s="297" t="s">
        <v>284</v>
      </c>
      <c r="B90" s="13" t="s">
        <v>8</v>
      </c>
      <c r="C90" s="13">
        <v>1</v>
      </c>
      <c r="D90" s="85">
        <v>1100</v>
      </c>
      <c r="E90" s="14"/>
    </row>
    <row r="91" spans="1:7" x14ac:dyDescent="0.2">
      <c r="A91" s="15" t="s">
        <v>34</v>
      </c>
      <c r="B91" s="16" t="s">
        <v>0</v>
      </c>
      <c r="C91" s="86">
        <v>0</v>
      </c>
      <c r="D91" s="17">
        <f>D89/220*2</f>
        <v>17.879727272727273</v>
      </c>
      <c r="E91" s="17">
        <f>C91*D91</f>
        <v>0</v>
      </c>
      <c r="G91" s="9" t="s">
        <v>245</v>
      </c>
    </row>
    <row r="92" spans="1:7" x14ac:dyDescent="0.2">
      <c r="A92" s="15" t="s">
        <v>35</v>
      </c>
      <c r="B92" s="16" t="s">
        <v>0</v>
      </c>
      <c r="C92" s="86"/>
      <c r="D92" s="17">
        <f>D89/220*1.5</f>
        <v>13.409795454545455</v>
      </c>
      <c r="E92" s="17">
        <f>C92*D92</f>
        <v>0</v>
      </c>
      <c r="G92" s="9" t="s">
        <v>247</v>
      </c>
    </row>
    <row r="93" spans="1:7" ht="13.15" customHeight="1" x14ac:dyDescent="0.2">
      <c r="A93" s="15" t="s">
        <v>212</v>
      </c>
      <c r="B93" s="16" t="s">
        <v>33</v>
      </c>
      <c r="D93" s="17">
        <f>63/302*(SUM(E91:E92))</f>
        <v>0</v>
      </c>
      <c r="E93" s="17">
        <f>D93</f>
        <v>0</v>
      </c>
      <c r="G93" s="9" t="s">
        <v>211</v>
      </c>
    </row>
    <row r="94" spans="1:7" x14ac:dyDescent="0.2">
      <c r="A94" s="15" t="s">
        <v>209</v>
      </c>
      <c r="B94" s="16"/>
      <c r="C94" s="88">
        <v>2</v>
      </c>
      <c r="D94" s="17"/>
      <c r="E94" s="17"/>
    </row>
    <row r="95" spans="1:7" x14ac:dyDescent="0.2">
      <c r="A95" s="15" t="s">
        <v>1</v>
      </c>
      <c r="B95" s="16" t="s">
        <v>2</v>
      </c>
      <c r="C95" s="84">
        <v>40</v>
      </c>
      <c r="D95" s="81">
        <f>IF(C94=2,SUM(E89:E93),IF(C94=1,(SUM(E89:E93))*D90/D89,0))</f>
        <v>1966.77</v>
      </c>
      <c r="E95" s="17">
        <f>C95*D95/100</f>
        <v>786.70800000000008</v>
      </c>
    </row>
    <row r="96" spans="1:7" s="10" customFormat="1" x14ac:dyDescent="0.2">
      <c r="A96" s="101" t="s">
        <v>3</v>
      </c>
      <c r="B96" s="116"/>
      <c r="C96" s="116"/>
      <c r="D96" s="117"/>
      <c r="E96" s="103">
        <f>SUM(E89:E95)</f>
        <v>2753.4780000000001</v>
      </c>
      <c r="F96" s="42"/>
      <c r="G96" s="42"/>
    </row>
    <row r="97" spans="1:7" x14ac:dyDescent="0.2">
      <c r="A97" s="15" t="s">
        <v>4</v>
      </c>
      <c r="B97" s="16" t="s">
        <v>2</v>
      </c>
      <c r="C97" s="139">
        <f>'2.Encargos Sociais'!$C$38*100</f>
        <v>70.595951999999997</v>
      </c>
      <c r="D97" s="17">
        <f>E96</f>
        <v>2753.4780000000001</v>
      </c>
      <c r="E97" s="17">
        <f>D97*C97/100</f>
        <v>1943.84400721056</v>
      </c>
    </row>
    <row r="98" spans="1:7" s="10" customFormat="1" x14ac:dyDescent="0.2">
      <c r="A98" s="101" t="s">
        <v>249</v>
      </c>
      <c r="B98" s="260"/>
      <c r="C98" s="260"/>
      <c r="D98" s="261"/>
      <c r="E98" s="103">
        <f>E96+E97</f>
        <v>4697.3220072105596</v>
      </c>
      <c r="F98" s="42"/>
      <c r="G98" s="42"/>
    </row>
    <row r="99" spans="1:7" ht="13.5" thickBot="1" x14ac:dyDescent="0.25">
      <c r="A99" s="15" t="s">
        <v>5</v>
      </c>
      <c r="B99" s="16" t="s">
        <v>6</v>
      </c>
      <c r="C99" s="84">
        <v>1</v>
      </c>
      <c r="D99" s="17">
        <f>E98</f>
        <v>4697.3220072105596</v>
      </c>
      <c r="E99" s="17">
        <f>C99*D99</f>
        <v>4697.3220072105596</v>
      </c>
    </row>
    <row r="100" spans="1:7" ht="13.5" thickBot="1" x14ac:dyDescent="0.25">
      <c r="D100" s="122" t="s">
        <v>192</v>
      </c>
      <c r="E100" s="48">
        <f>$B$51</f>
        <v>1</v>
      </c>
      <c r="F100" s="123">
        <f>E99*E100</f>
        <v>4697.3220072105596</v>
      </c>
    </row>
    <row r="101" spans="1:7" ht="11.25" hidden="1" customHeight="1" x14ac:dyDescent="0.2"/>
    <row r="102" spans="1:7" ht="13.5" hidden="1" thickBot="1" x14ac:dyDescent="0.25">
      <c r="A102" s="8" t="s">
        <v>101</v>
      </c>
    </row>
    <row r="103" spans="1:7" ht="13.5" hidden="1" thickBot="1" x14ac:dyDescent="0.25">
      <c r="A103" s="58" t="s">
        <v>63</v>
      </c>
      <c r="B103" s="59" t="s">
        <v>64</v>
      </c>
      <c r="C103" s="59" t="s">
        <v>40</v>
      </c>
      <c r="D103" s="60" t="s">
        <v>230</v>
      </c>
      <c r="E103" s="60" t="s">
        <v>65</v>
      </c>
      <c r="F103" s="61" t="s">
        <v>66</v>
      </c>
    </row>
    <row r="104" spans="1:7" hidden="1" x14ac:dyDescent="0.2">
      <c r="A104" s="297" t="s">
        <v>283</v>
      </c>
      <c r="B104" s="13" t="s">
        <v>8</v>
      </c>
      <c r="C104" s="13">
        <v>1</v>
      </c>
      <c r="D104" s="14">
        <f>D89</f>
        <v>1966.77</v>
      </c>
      <c r="E104" s="14">
        <f>C104*D104</f>
        <v>1966.77</v>
      </c>
    </row>
    <row r="105" spans="1:7" hidden="1" x14ac:dyDescent="0.2">
      <c r="A105" s="297" t="s">
        <v>284</v>
      </c>
      <c r="B105" s="13" t="s">
        <v>8</v>
      </c>
      <c r="C105" s="13">
        <v>1</v>
      </c>
      <c r="D105" s="17">
        <f>D90</f>
        <v>1100</v>
      </c>
      <c r="E105" s="17"/>
    </row>
    <row r="106" spans="1:7" hidden="1" x14ac:dyDescent="0.2">
      <c r="A106" s="15" t="s">
        <v>7</v>
      </c>
      <c r="B106" s="16" t="s">
        <v>98</v>
      </c>
      <c r="C106" s="86"/>
      <c r="D106" s="15"/>
      <c r="E106" s="15"/>
    </row>
    <row r="107" spans="1:7" hidden="1" x14ac:dyDescent="0.2">
      <c r="A107" s="15"/>
      <c r="B107" s="16" t="s">
        <v>102</v>
      </c>
      <c r="C107" s="17">
        <f>C106*8/7</f>
        <v>0</v>
      </c>
      <c r="D107" s="17">
        <f>D104/220*0.2</f>
        <v>1.7879727272727273</v>
      </c>
      <c r="E107" s="17">
        <f>C107*D107</f>
        <v>0</v>
      </c>
    </row>
    <row r="108" spans="1:7" hidden="1" x14ac:dyDescent="0.2">
      <c r="A108" s="15" t="s">
        <v>34</v>
      </c>
      <c r="B108" s="16" t="s">
        <v>0</v>
      </c>
      <c r="C108" s="86"/>
      <c r="D108" s="17">
        <f>D104/220*2</f>
        <v>17.879727272727273</v>
      </c>
      <c r="E108" s="17">
        <f>C108*D108</f>
        <v>0</v>
      </c>
      <c r="G108" s="9" t="s">
        <v>245</v>
      </c>
    </row>
    <row r="109" spans="1:7" hidden="1" x14ac:dyDescent="0.2">
      <c r="A109" s="15" t="s">
        <v>99</v>
      </c>
      <c r="B109" s="16" t="s">
        <v>98</v>
      </c>
      <c r="C109" s="86"/>
      <c r="D109" s="17"/>
      <c r="E109" s="17"/>
      <c r="G109" s="9" t="s">
        <v>246</v>
      </c>
    </row>
    <row r="110" spans="1:7" hidden="1" x14ac:dyDescent="0.2">
      <c r="A110" s="15"/>
      <c r="B110" s="16" t="s">
        <v>102</v>
      </c>
      <c r="C110" s="17">
        <f>C109*8/7</f>
        <v>0</v>
      </c>
      <c r="D110" s="17">
        <f>D104/220*2*1.2</f>
        <v>21.455672727272727</v>
      </c>
      <c r="E110" s="17">
        <f>C110*D110</f>
        <v>0</v>
      </c>
      <c r="G110" s="9" t="s">
        <v>246</v>
      </c>
    </row>
    <row r="111" spans="1:7" hidden="1" x14ac:dyDescent="0.2">
      <c r="A111" s="15" t="s">
        <v>35</v>
      </c>
      <c r="B111" s="16" t="s">
        <v>0</v>
      </c>
      <c r="C111" s="86"/>
      <c r="D111" s="17">
        <f>D104/220*1.5</f>
        <v>13.409795454545455</v>
      </c>
      <c r="E111" s="17">
        <f>C111*D111</f>
        <v>0</v>
      </c>
      <c r="G111" s="9" t="s">
        <v>247</v>
      </c>
    </row>
    <row r="112" spans="1:7" hidden="1" x14ac:dyDescent="0.2">
      <c r="A112" s="15" t="s">
        <v>210</v>
      </c>
      <c r="B112" s="16" t="s">
        <v>98</v>
      </c>
      <c r="C112" s="86"/>
      <c r="D112" s="17"/>
      <c r="E112" s="17"/>
      <c r="G112" s="9" t="s">
        <v>248</v>
      </c>
    </row>
    <row r="113" spans="1:7" hidden="1" x14ac:dyDescent="0.2">
      <c r="A113" s="15"/>
      <c r="B113" s="16" t="s">
        <v>102</v>
      </c>
      <c r="C113" s="17">
        <f>C112*8/7</f>
        <v>0</v>
      </c>
      <c r="D113" s="17">
        <f>D104/220*1.5*1.2</f>
        <v>16.091754545454545</v>
      </c>
      <c r="E113" s="17">
        <f>C113*D113</f>
        <v>0</v>
      </c>
      <c r="G113" s="9" t="s">
        <v>248</v>
      </c>
    </row>
    <row r="114" spans="1:7" ht="13.15" hidden="1" customHeight="1" x14ac:dyDescent="0.2">
      <c r="A114" s="15" t="s">
        <v>212</v>
      </c>
      <c r="B114" s="16" t="s">
        <v>33</v>
      </c>
      <c r="D114" s="17">
        <f>63/302*(SUM(E108:E113))</f>
        <v>0</v>
      </c>
      <c r="E114" s="17">
        <f>D114</f>
        <v>0</v>
      </c>
      <c r="G114" s="9" t="s">
        <v>211</v>
      </c>
    </row>
    <row r="115" spans="1:7" hidden="1" x14ac:dyDescent="0.2">
      <c r="A115" s="15" t="s">
        <v>209</v>
      </c>
      <c r="B115" s="16"/>
      <c r="C115" s="88"/>
      <c r="D115" s="17"/>
      <c r="E115" s="17"/>
    </row>
    <row r="116" spans="1:7" hidden="1" x14ac:dyDescent="0.2">
      <c r="A116" s="15" t="s">
        <v>1</v>
      </c>
      <c r="B116" s="16" t="s">
        <v>2</v>
      </c>
      <c r="C116" s="81">
        <f>+C95</f>
        <v>40</v>
      </c>
      <c r="D116" s="81">
        <f>IF(C115=2,SUM(E104:E114),IF(C115=1,SUM(E104:E114)*D105/D104,0))</f>
        <v>0</v>
      </c>
      <c r="E116" s="17">
        <f>C116*D116/100</f>
        <v>0</v>
      </c>
    </row>
    <row r="117" spans="1:7" s="10" customFormat="1" hidden="1" x14ac:dyDescent="0.2">
      <c r="A117" s="115" t="s">
        <v>3</v>
      </c>
      <c r="B117" s="116"/>
      <c r="C117" s="116"/>
      <c r="D117" s="117"/>
      <c r="E117" s="118">
        <f>SUM(E104:E116)</f>
        <v>1966.77</v>
      </c>
      <c r="F117" s="42"/>
      <c r="G117" s="42"/>
    </row>
    <row r="118" spans="1:7" hidden="1" x14ac:dyDescent="0.2">
      <c r="A118" s="15" t="s">
        <v>4</v>
      </c>
      <c r="B118" s="16" t="s">
        <v>2</v>
      </c>
      <c r="C118" s="139">
        <f>'2.Encargos Sociais'!$C$38*100</f>
        <v>70.595951999999997</v>
      </c>
      <c r="D118" s="17">
        <f>E117</f>
        <v>1966.77</v>
      </c>
      <c r="E118" s="17">
        <f>D118*C118/100</f>
        <v>1388.4600051503999</v>
      </c>
    </row>
    <row r="119" spans="1:7" s="10" customFormat="1" hidden="1" x14ac:dyDescent="0.2">
      <c r="A119" s="115" t="s">
        <v>249</v>
      </c>
      <c r="B119" s="116"/>
      <c r="C119" s="116"/>
      <c r="D119" s="117"/>
      <c r="E119" s="118">
        <f>E117+E118</f>
        <v>3355.2300051503998</v>
      </c>
      <c r="F119" s="42"/>
      <c r="G119" s="42"/>
    </row>
    <row r="120" spans="1:7" ht="13.5" hidden="1" thickBot="1" x14ac:dyDescent="0.25">
      <c r="A120" s="15" t="s">
        <v>5</v>
      </c>
      <c r="B120" s="16" t="s">
        <v>6</v>
      </c>
      <c r="C120" s="84"/>
      <c r="D120" s="17">
        <f>E119</f>
        <v>3355.2300051503998</v>
      </c>
      <c r="E120" s="17">
        <f>C120*D120</f>
        <v>0</v>
      </c>
    </row>
    <row r="121" spans="1:7" ht="13.5" hidden="1" thickBot="1" x14ac:dyDescent="0.25">
      <c r="D121" s="122" t="s">
        <v>192</v>
      </c>
      <c r="E121" s="48">
        <f>$B$51</f>
        <v>1</v>
      </c>
      <c r="F121" s="123">
        <f>E120*E121</f>
        <v>0</v>
      </c>
    </row>
    <row r="122" spans="1:7" ht="11.25" hidden="1" customHeight="1" x14ac:dyDescent="0.2">
      <c r="G122" s="8"/>
    </row>
    <row r="123" spans="1:7" ht="13.5" thickBot="1" x14ac:dyDescent="0.25">
      <c r="A123" s="6" t="s">
        <v>310</v>
      </c>
      <c r="B123" s="91"/>
      <c r="D123" s="8"/>
      <c r="E123" s="8"/>
      <c r="G123" s="8"/>
    </row>
    <row r="124" spans="1:7" ht="13.5" thickBot="1" x14ac:dyDescent="0.25">
      <c r="A124" s="58" t="s">
        <v>63</v>
      </c>
      <c r="B124" s="59" t="s">
        <v>64</v>
      </c>
      <c r="C124" s="59" t="s">
        <v>40</v>
      </c>
      <c r="D124" s="60" t="s">
        <v>230</v>
      </c>
      <c r="E124" s="60" t="s">
        <v>65</v>
      </c>
      <c r="F124" s="61" t="s">
        <v>66</v>
      </c>
      <c r="G124" s="8"/>
    </row>
    <row r="125" spans="1:7" x14ac:dyDescent="0.2">
      <c r="A125" s="15" t="s">
        <v>91</v>
      </c>
      <c r="B125" s="16" t="s">
        <v>33</v>
      </c>
      <c r="C125" s="92">
        <v>1</v>
      </c>
      <c r="D125" s="90">
        <v>3.8</v>
      </c>
      <c r="E125" s="17"/>
      <c r="G125" s="8"/>
    </row>
    <row r="126" spans="1:7" x14ac:dyDescent="0.2">
      <c r="A126" s="15" t="s">
        <v>92</v>
      </c>
      <c r="B126" s="16" t="s">
        <v>93</v>
      </c>
      <c r="C126" s="89">
        <v>26</v>
      </c>
      <c r="D126" s="17"/>
      <c r="E126" s="17"/>
      <c r="G126" s="8"/>
    </row>
    <row r="127" spans="1:7" hidden="1" x14ac:dyDescent="0.2">
      <c r="A127" s="15" t="s">
        <v>73</v>
      </c>
      <c r="B127" s="16" t="s">
        <v>9</v>
      </c>
      <c r="C127" s="36">
        <f>$C$126*2*(C65+C84)</f>
        <v>0</v>
      </c>
      <c r="D127" s="14">
        <f>IFERROR((($C$126*2*$D$125)-(E57*0.06*C126/26))/($C$126*2),"-")</f>
        <v>3.8</v>
      </c>
      <c r="E127" s="17">
        <f>IFERROR(C127*D127,"-")</f>
        <v>0</v>
      </c>
      <c r="G127" s="8"/>
    </row>
    <row r="128" spans="1:7" ht="13.5" thickBot="1" x14ac:dyDescent="0.25">
      <c r="A128" s="12" t="s">
        <v>44</v>
      </c>
      <c r="B128" s="13" t="s">
        <v>9</v>
      </c>
      <c r="C128" s="36">
        <f>$C$126*2*(C99+C120)</f>
        <v>52</v>
      </c>
      <c r="D128" s="14">
        <f>IFERROR((($C$126*2*$D$125)-(E89*0.06*C126/26))/($C$126*2),"-")</f>
        <v>1.5306499999999998</v>
      </c>
      <c r="E128" s="14">
        <f>IFERROR(C128*D128,"-")</f>
        <v>79.593799999999987</v>
      </c>
      <c r="G128" s="8"/>
    </row>
    <row r="129" spans="1:7" ht="13.5" thickBot="1" x14ac:dyDescent="0.25">
      <c r="F129" s="21">
        <f>SUM(E127:E128)</f>
        <v>79.593799999999987</v>
      </c>
      <c r="G129" s="8"/>
    </row>
    <row r="130" spans="1:7" ht="11.25" customHeight="1" x14ac:dyDescent="0.2">
      <c r="G130" s="8"/>
    </row>
    <row r="131" spans="1:7" ht="13.5" thickBot="1" x14ac:dyDescent="0.25">
      <c r="A131" s="6" t="s">
        <v>311</v>
      </c>
      <c r="F131" s="22"/>
      <c r="G131" s="8"/>
    </row>
    <row r="132" spans="1:7" ht="13.5" thickBot="1" x14ac:dyDescent="0.25">
      <c r="A132" s="58" t="s">
        <v>63</v>
      </c>
      <c r="B132" s="59" t="s">
        <v>64</v>
      </c>
      <c r="C132" s="59" t="s">
        <v>40</v>
      </c>
      <c r="D132" s="60" t="s">
        <v>230</v>
      </c>
      <c r="E132" s="60" t="s">
        <v>65</v>
      </c>
      <c r="F132" s="61" t="s">
        <v>66</v>
      </c>
      <c r="G132" s="8"/>
    </row>
    <row r="133" spans="1:7" hidden="1" x14ac:dyDescent="0.2">
      <c r="A133" s="15" t="str">
        <f>+A127</f>
        <v>Coletor</v>
      </c>
      <c r="B133" s="16" t="s">
        <v>10</v>
      </c>
      <c r="C133" s="100">
        <f>C126*(E41+E42)</f>
        <v>0</v>
      </c>
      <c r="D133" s="93"/>
      <c r="E133" s="48">
        <f>C133*D133</f>
        <v>0</v>
      </c>
      <c r="F133" s="22"/>
      <c r="G133" s="8"/>
    </row>
    <row r="134" spans="1:7" ht="13.5" thickBot="1" x14ac:dyDescent="0.25">
      <c r="A134" s="15" t="str">
        <f>+A128</f>
        <v>Motorista</v>
      </c>
      <c r="B134" s="16" t="s">
        <v>10</v>
      </c>
      <c r="C134" s="100">
        <f>C126*(E43+E44)</f>
        <v>26</v>
      </c>
      <c r="D134" s="93">
        <v>20.77</v>
      </c>
      <c r="E134" s="48">
        <f>C134*D134</f>
        <v>540.02</v>
      </c>
      <c r="F134" s="22"/>
      <c r="G134" s="8"/>
    </row>
    <row r="135" spans="1:7" ht="13.5" thickBot="1" x14ac:dyDescent="0.25">
      <c r="F135" s="21">
        <f>SUM(E133:E134)</f>
        <v>540.02</v>
      </c>
      <c r="G135" s="8"/>
    </row>
    <row r="136" spans="1:7" x14ac:dyDescent="0.2">
      <c r="G136" s="8"/>
    </row>
    <row r="137" spans="1:7" ht="13.5" thickBot="1" x14ac:dyDescent="0.25">
      <c r="A137" s="6" t="s">
        <v>313</v>
      </c>
      <c r="F137" s="22"/>
      <c r="G137" s="8"/>
    </row>
    <row r="138" spans="1:7" ht="13.5" thickBot="1" x14ac:dyDescent="0.25">
      <c r="A138" s="58" t="s">
        <v>63</v>
      </c>
      <c r="B138" s="59" t="s">
        <v>64</v>
      </c>
      <c r="C138" s="59" t="s">
        <v>40</v>
      </c>
      <c r="D138" s="60" t="s">
        <v>230</v>
      </c>
      <c r="E138" s="60" t="s">
        <v>65</v>
      </c>
      <c r="F138" s="61" t="s">
        <v>66</v>
      </c>
      <c r="G138" s="8"/>
    </row>
    <row r="139" spans="1:7" hidden="1" x14ac:dyDescent="0.2">
      <c r="A139" s="15" t="str">
        <f>+A133</f>
        <v>Coletor</v>
      </c>
      <c r="B139" s="16" t="s">
        <v>10</v>
      </c>
      <c r="C139" s="100">
        <f>E41+E42</f>
        <v>0</v>
      </c>
      <c r="D139" s="93"/>
      <c r="E139" s="48">
        <f>C139*D139</f>
        <v>0</v>
      </c>
      <c r="F139" s="22"/>
      <c r="G139" s="8"/>
    </row>
    <row r="140" spans="1:7" ht="13.5" thickBot="1" x14ac:dyDescent="0.25">
      <c r="A140" s="15" t="str">
        <f>+A134</f>
        <v>Motorista</v>
      </c>
      <c r="B140" s="16" t="s">
        <v>10</v>
      </c>
      <c r="C140" s="100">
        <f>E43+E44</f>
        <v>1</v>
      </c>
      <c r="D140" s="93">
        <v>96.84</v>
      </c>
      <c r="E140" s="48">
        <f>C140*D140</f>
        <v>96.84</v>
      </c>
      <c r="F140" s="22"/>
      <c r="G140" s="8"/>
    </row>
    <row r="141" spans="1:7" ht="13.5" thickBot="1" x14ac:dyDescent="0.25">
      <c r="D141" s="122" t="s">
        <v>192</v>
      </c>
      <c r="E141" s="48">
        <f>$B$51</f>
        <v>1</v>
      </c>
      <c r="F141" s="21">
        <f>SUM(E139:E140)*E141</f>
        <v>96.84</v>
      </c>
      <c r="G141" s="8"/>
    </row>
    <row r="142" spans="1:7" hidden="1" x14ac:dyDescent="0.2">
      <c r="D142" s="122"/>
      <c r="E142" s="57"/>
      <c r="F142" s="316"/>
      <c r="G142" s="8"/>
    </row>
    <row r="143" spans="1:7" ht="13.5" thickBot="1" x14ac:dyDescent="0.25">
      <c r="G143" s="8"/>
    </row>
    <row r="144" spans="1:7" ht="13.5" thickBot="1" x14ac:dyDescent="0.25">
      <c r="A144" s="23" t="s">
        <v>94</v>
      </c>
      <c r="B144" s="24"/>
      <c r="C144" s="24"/>
      <c r="D144" s="25"/>
      <c r="E144" s="26"/>
      <c r="F144" s="21">
        <f>F141+F135+F129+F121+F100+F85+F66</f>
        <v>5413.7758072105598</v>
      </c>
      <c r="G144" s="8"/>
    </row>
    <row r="146" spans="1:8" x14ac:dyDescent="0.2">
      <c r="A146" s="10" t="s">
        <v>45</v>
      </c>
      <c r="G146" s="8"/>
    </row>
    <row r="147" spans="1:8" ht="11.25" customHeight="1" x14ac:dyDescent="0.2">
      <c r="G147" s="8"/>
    </row>
    <row r="148" spans="1:8" ht="13.9" customHeight="1" x14ac:dyDescent="0.2">
      <c r="A148" s="8" t="s">
        <v>194</v>
      </c>
      <c r="G148" s="8"/>
    </row>
    <row r="149" spans="1:8" ht="11.25" customHeight="1" thickBot="1" x14ac:dyDescent="0.25">
      <c r="G149" s="8"/>
    </row>
    <row r="150" spans="1:8" ht="27.75" customHeight="1" thickBot="1" x14ac:dyDescent="0.25">
      <c r="A150" s="58" t="s">
        <v>63</v>
      </c>
      <c r="B150" s="59" t="s">
        <v>64</v>
      </c>
      <c r="C150" s="262" t="s">
        <v>250</v>
      </c>
      <c r="D150" s="60" t="s">
        <v>230</v>
      </c>
      <c r="E150" s="60" t="s">
        <v>65</v>
      </c>
      <c r="F150" s="61" t="s">
        <v>66</v>
      </c>
      <c r="G150" s="8"/>
      <c r="H150" s="306"/>
    </row>
    <row r="151" spans="1:8" x14ac:dyDescent="0.2">
      <c r="A151" s="297" t="s">
        <v>67</v>
      </c>
      <c r="B151" s="13" t="s">
        <v>10</v>
      </c>
      <c r="C151" s="99">
        <v>3</v>
      </c>
      <c r="D151" s="303">
        <v>97.35</v>
      </c>
      <c r="E151" s="14">
        <f>IFERROR(D151/C151,0)</f>
        <v>32.449999999999996</v>
      </c>
      <c r="G151" s="8"/>
    </row>
    <row r="152" spans="1:8" ht="13.15" customHeight="1" x14ac:dyDescent="0.2">
      <c r="A152" s="15" t="s">
        <v>29</v>
      </c>
      <c r="B152" s="16" t="s">
        <v>10</v>
      </c>
      <c r="C152" s="99">
        <v>3</v>
      </c>
      <c r="D152" s="303">
        <v>66</v>
      </c>
      <c r="E152" s="14">
        <f t="shared" ref="E152:E160" si="1">IFERROR(D152/C152,0)</f>
        <v>22</v>
      </c>
      <c r="G152" s="8"/>
      <c r="H152" s="306"/>
    </row>
    <row r="153" spans="1:8" x14ac:dyDescent="0.2">
      <c r="A153" s="15" t="s">
        <v>30</v>
      </c>
      <c r="B153" s="16" t="s">
        <v>10</v>
      </c>
      <c r="C153" s="99">
        <v>3</v>
      </c>
      <c r="D153" s="303">
        <v>38.9</v>
      </c>
      <c r="E153" s="14">
        <f t="shared" si="1"/>
        <v>12.966666666666667</v>
      </c>
      <c r="G153" s="8"/>
    </row>
    <row r="154" spans="1:8" ht="13.15" customHeight="1" x14ac:dyDescent="0.2">
      <c r="A154" s="15" t="s">
        <v>31</v>
      </c>
      <c r="B154" s="16" t="s">
        <v>10</v>
      </c>
      <c r="C154" s="99">
        <v>3</v>
      </c>
      <c r="D154" s="303">
        <v>23.6</v>
      </c>
      <c r="E154" s="14">
        <f t="shared" si="1"/>
        <v>7.8666666666666671</v>
      </c>
      <c r="G154" s="8"/>
    </row>
    <row r="155" spans="1:8" ht="13.9" customHeight="1" x14ac:dyDescent="0.2">
      <c r="A155" s="15" t="s">
        <v>69</v>
      </c>
      <c r="B155" s="16" t="s">
        <v>48</v>
      </c>
      <c r="C155" s="99">
        <v>3</v>
      </c>
      <c r="D155" s="303">
        <v>53.6</v>
      </c>
      <c r="E155" s="14">
        <f t="shared" si="1"/>
        <v>17.866666666666667</v>
      </c>
      <c r="G155" s="8"/>
    </row>
    <row r="156" spans="1:8" ht="13.15" customHeight="1" x14ac:dyDescent="0.2">
      <c r="A156" s="15" t="s">
        <v>95</v>
      </c>
      <c r="B156" s="16" t="s">
        <v>48</v>
      </c>
      <c r="C156" s="99"/>
      <c r="D156" s="303">
        <v>0</v>
      </c>
      <c r="E156" s="14">
        <f t="shared" si="1"/>
        <v>0</v>
      </c>
    </row>
    <row r="157" spans="1:8" x14ac:dyDescent="0.2">
      <c r="A157" s="15" t="s">
        <v>68</v>
      </c>
      <c r="B157" s="16" t="s">
        <v>10</v>
      </c>
      <c r="C157" s="99">
        <v>12</v>
      </c>
      <c r="D157" s="303">
        <v>22.91</v>
      </c>
      <c r="E157" s="14">
        <f t="shared" si="1"/>
        <v>1.9091666666666667</v>
      </c>
      <c r="G157" s="305" t="s">
        <v>296</v>
      </c>
      <c r="H157" s="8">
        <v>12894</v>
      </c>
    </row>
    <row r="158" spans="1:8" s="1" customFormat="1" x14ac:dyDescent="0.2">
      <c r="A158" s="317" t="s">
        <v>11</v>
      </c>
      <c r="B158" s="2" t="s">
        <v>10</v>
      </c>
      <c r="C158" s="99">
        <v>3</v>
      </c>
      <c r="D158" s="303">
        <v>14.27</v>
      </c>
      <c r="E158" s="14">
        <f t="shared" si="1"/>
        <v>4.7566666666666668</v>
      </c>
      <c r="F158" s="37"/>
      <c r="G158" s="37"/>
    </row>
    <row r="159" spans="1:8" x14ac:dyDescent="0.2">
      <c r="A159" s="15" t="s">
        <v>32</v>
      </c>
      <c r="B159" s="16" t="s">
        <v>48</v>
      </c>
      <c r="C159" s="99">
        <v>1</v>
      </c>
      <c r="D159" s="303">
        <v>6.5</v>
      </c>
      <c r="E159" s="14">
        <f t="shared" si="1"/>
        <v>6.5</v>
      </c>
      <c r="G159" s="305" t="s">
        <v>297</v>
      </c>
      <c r="H159" s="8">
        <v>12892</v>
      </c>
    </row>
    <row r="160" spans="1:8" ht="13.15" customHeight="1" x14ac:dyDescent="0.2">
      <c r="A160" s="15" t="s">
        <v>62</v>
      </c>
      <c r="B160" s="304" t="s">
        <v>295</v>
      </c>
      <c r="C160" s="99">
        <v>16</v>
      </c>
      <c r="D160" s="303">
        <v>299.70999999999998</v>
      </c>
      <c r="E160" s="14">
        <f t="shared" si="1"/>
        <v>18.731874999999999</v>
      </c>
      <c r="G160" s="305" t="s">
        <v>297</v>
      </c>
      <c r="H160" s="8">
        <v>36146</v>
      </c>
    </row>
    <row r="161" spans="1:9" x14ac:dyDescent="0.2">
      <c r="A161" s="15" t="s">
        <v>195</v>
      </c>
      <c r="B161" s="16" t="s">
        <v>121</v>
      </c>
      <c r="C161" s="120">
        <v>1</v>
      </c>
      <c r="D161" s="303">
        <v>14.2</v>
      </c>
      <c r="E161" s="17">
        <f t="shared" ref="E161:E162" si="2">C161*D161</f>
        <v>14.2</v>
      </c>
    </row>
    <row r="162" spans="1:9" ht="13.5" thickBot="1" x14ac:dyDescent="0.25">
      <c r="A162" s="15" t="s">
        <v>5</v>
      </c>
      <c r="B162" s="16" t="s">
        <v>6</v>
      </c>
      <c r="C162" s="67">
        <f>E41+E42</f>
        <v>0</v>
      </c>
      <c r="D162" s="17">
        <f>+SUM(E151:E161)</f>
        <v>139.24770833333332</v>
      </c>
      <c r="E162" s="17">
        <f t="shared" si="2"/>
        <v>0</v>
      </c>
    </row>
    <row r="163" spans="1:9" ht="13.5" thickBot="1" x14ac:dyDescent="0.25">
      <c r="D163" s="122" t="s">
        <v>192</v>
      </c>
      <c r="E163" s="48">
        <f>$B$51</f>
        <v>1</v>
      </c>
      <c r="F163" s="123">
        <f>E162*E163</f>
        <v>0</v>
      </c>
    </row>
    <row r="164" spans="1:9" ht="11.25" customHeight="1" x14ac:dyDescent="0.2"/>
    <row r="165" spans="1:9" ht="13.9" customHeight="1" x14ac:dyDescent="0.2">
      <c r="A165" s="8" t="s">
        <v>196</v>
      </c>
    </row>
    <row r="166" spans="1:9" ht="11.25" customHeight="1" thickBot="1" x14ac:dyDescent="0.25">
      <c r="I166" s="1"/>
    </row>
    <row r="167" spans="1:9" ht="24.75" thickBot="1" x14ac:dyDescent="0.25">
      <c r="A167" s="58" t="s">
        <v>63</v>
      </c>
      <c r="B167" s="59" t="s">
        <v>64</v>
      </c>
      <c r="C167" s="262" t="s">
        <v>250</v>
      </c>
      <c r="D167" s="60" t="s">
        <v>230</v>
      </c>
      <c r="E167" s="60" t="s">
        <v>65</v>
      </c>
      <c r="F167" s="61" t="s">
        <v>66</v>
      </c>
    </row>
    <row r="168" spans="1:9" x14ac:dyDescent="0.2">
      <c r="A168" s="297" t="s">
        <v>67</v>
      </c>
      <c r="B168" s="13" t="s">
        <v>10</v>
      </c>
      <c r="C168" s="99">
        <v>12</v>
      </c>
      <c r="D168" s="14">
        <f>+D151</f>
        <v>97.35</v>
      </c>
      <c r="E168" s="14">
        <f>IFERROR(D168/C168,0)</f>
        <v>8.1124999999999989</v>
      </c>
    </row>
    <row r="169" spans="1:9" x14ac:dyDescent="0.2">
      <c r="A169" s="15" t="s">
        <v>29</v>
      </c>
      <c r="B169" s="16" t="s">
        <v>10</v>
      </c>
      <c r="C169" s="99">
        <v>3</v>
      </c>
      <c r="D169" s="17">
        <f>+D152</f>
        <v>66</v>
      </c>
      <c r="E169" s="14">
        <f t="shared" ref="E169:E173" si="3">IFERROR(D169/C169,0)</f>
        <v>22</v>
      </c>
    </row>
    <row r="170" spans="1:9" x14ac:dyDescent="0.2">
      <c r="A170" s="15" t="s">
        <v>30</v>
      </c>
      <c r="B170" s="16" t="s">
        <v>10</v>
      </c>
      <c r="C170" s="99">
        <v>3</v>
      </c>
      <c r="D170" s="17">
        <f>+D153</f>
        <v>38.9</v>
      </c>
      <c r="E170" s="14">
        <f>IFERROR(D170/C170,0)</f>
        <v>12.966666666666667</v>
      </c>
    </row>
    <row r="171" spans="1:9" x14ac:dyDescent="0.2">
      <c r="A171" s="15" t="s">
        <v>69</v>
      </c>
      <c r="B171" s="16" t="s">
        <v>48</v>
      </c>
      <c r="C171" s="99">
        <v>12</v>
      </c>
      <c r="D171" s="17">
        <f>+D155</f>
        <v>53.6</v>
      </c>
      <c r="E171" s="14">
        <f t="shared" si="3"/>
        <v>4.4666666666666668</v>
      </c>
    </row>
    <row r="172" spans="1:9" x14ac:dyDescent="0.2">
      <c r="A172" s="15" t="s">
        <v>68</v>
      </c>
      <c r="B172" s="16" t="s">
        <v>10</v>
      </c>
      <c r="C172" s="99">
        <v>12</v>
      </c>
      <c r="D172" s="17">
        <f>+D157</f>
        <v>22.91</v>
      </c>
      <c r="E172" s="14">
        <f t="shared" si="3"/>
        <v>1.9091666666666667</v>
      </c>
      <c r="G172" s="8"/>
    </row>
    <row r="173" spans="1:9" x14ac:dyDescent="0.2">
      <c r="A173" s="15" t="s">
        <v>62</v>
      </c>
      <c r="B173" s="304" t="s">
        <v>295</v>
      </c>
      <c r="C173" s="99">
        <v>16</v>
      </c>
      <c r="D173" s="17">
        <f>+D160</f>
        <v>299.70999999999998</v>
      </c>
      <c r="E173" s="14">
        <f t="shared" si="3"/>
        <v>18.731874999999999</v>
      </c>
      <c r="G173" s="8"/>
    </row>
    <row r="174" spans="1:9" x14ac:dyDescent="0.2">
      <c r="A174" s="15" t="s">
        <v>195</v>
      </c>
      <c r="B174" s="16" t="s">
        <v>121</v>
      </c>
      <c r="C174" s="120">
        <v>1</v>
      </c>
      <c r="D174" s="85">
        <v>40</v>
      </c>
      <c r="E174" s="17">
        <f t="shared" ref="E174:E175" si="4">C174*D174</f>
        <v>40</v>
      </c>
      <c r="G174" s="8"/>
    </row>
    <row r="175" spans="1:9" ht="13.5" thickBot="1" x14ac:dyDescent="0.25">
      <c r="A175" s="15" t="s">
        <v>5</v>
      </c>
      <c r="B175" s="16" t="s">
        <v>6</v>
      </c>
      <c r="C175" s="67">
        <f>E43+E44</f>
        <v>1</v>
      </c>
      <c r="D175" s="17">
        <f>+SUM(E168:E174)</f>
        <v>108.186875</v>
      </c>
      <c r="E175" s="17">
        <f t="shared" si="4"/>
        <v>108.186875</v>
      </c>
      <c r="G175" s="8"/>
    </row>
    <row r="176" spans="1:9" ht="13.5" thickBot="1" x14ac:dyDescent="0.25">
      <c r="D176" s="122" t="s">
        <v>192</v>
      </c>
      <c r="E176" s="48">
        <f>$B$51</f>
        <v>1</v>
      </c>
      <c r="F176" s="123">
        <f>E175*E176</f>
        <v>108.186875</v>
      </c>
      <c r="G176" s="8"/>
    </row>
    <row r="177" spans="1:10" ht="11.25" customHeight="1" thickBot="1" x14ac:dyDescent="0.25">
      <c r="G177" s="8"/>
    </row>
    <row r="178" spans="1:10" ht="13.5" thickBot="1" x14ac:dyDescent="0.25">
      <c r="A178" s="23" t="s">
        <v>197</v>
      </c>
      <c r="B178" s="27"/>
      <c r="C178" s="27"/>
      <c r="D178" s="28"/>
      <c r="E178" s="29"/>
      <c r="F178" s="20">
        <f>+F163+F176</f>
        <v>108.186875</v>
      </c>
      <c r="G178" s="8"/>
    </row>
    <row r="179" spans="1:10" ht="11.25" customHeight="1" x14ac:dyDescent="0.2">
      <c r="G179" s="8"/>
    </row>
    <row r="180" spans="1:10" x14ac:dyDescent="0.2">
      <c r="A180" s="10" t="s">
        <v>53</v>
      </c>
      <c r="G180" s="8"/>
    </row>
    <row r="181" spans="1:10" ht="11.25" customHeight="1" x14ac:dyDescent="0.2">
      <c r="B181" s="105"/>
      <c r="G181" s="8"/>
    </row>
    <row r="182" spans="1:10" x14ac:dyDescent="0.2">
      <c r="A182" s="6" t="s">
        <v>308</v>
      </c>
      <c r="G182" s="8"/>
    </row>
    <row r="183" spans="1:10" ht="11.25" customHeight="1" x14ac:dyDescent="0.2">
      <c r="G183" s="8"/>
    </row>
    <row r="184" spans="1:10" ht="13.5" thickBot="1" x14ac:dyDescent="0.25">
      <c r="A184" s="105" t="s">
        <v>46</v>
      </c>
      <c r="G184" s="8"/>
    </row>
    <row r="185" spans="1:10" ht="13.5" thickBot="1" x14ac:dyDescent="0.25">
      <c r="A185" s="58" t="s">
        <v>63</v>
      </c>
      <c r="B185" s="59" t="s">
        <v>64</v>
      </c>
      <c r="C185" s="59" t="s">
        <v>40</v>
      </c>
      <c r="D185" s="60" t="s">
        <v>230</v>
      </c>
      <c r="E185" s="60" t="s">
        <v>65</v>
      </c>
      <c r="F185" s="61" t="s">
        <v>66</v>
      </c>
      <c r="G185" s="8"/>
    </row>
    <row r="186" spans="1:10" x14ac:dyDescent="0.2">
      <c r="A186" s="12" t="s">
        <v>106</v>
      </c>
      <c r="B186" s="13" t="s">
        <v>10</v>
      </c>
      <c r="C186" s="268">
        <v>1</v>
      </c>
      <c r="D186" s="85">
        <v>555000</v>
      </c>
      <c r="E186" s="14">
        <f>C186*D186</f>
        <v>555000</v>
      </c>
      <c r="G186" s="6" t="s">
        <v>297</v>
      </c>
      <c r="H186" s="8">
        <v>37763</v>
      </c>
    </row>
    <row r="187" spans="1:10" x14ac:dyDescent="0.2">
      <c r="A187" s="15" t="s">
        <v>103</v>
      </c>
      <c r="B187" s="16" t="s">
        <v>104</v>
      </c>
      <c r="C187" s="84">
        <v>10</v>
      </c>
      <c r="D187" s="81"/>
      <c r="E187" s="17"/>
      <c r="G187" s="8"/>
    </row>
    <row r="188" spans="1:10" x14ac:dyDescent="0.2">
      <c r="A188" s="15" t="s">
        <v>204</v>
      </c>
      <c r="B188" s="16" t="s">
        <v>104</v>
      </c>
      <c r="C188" s="84">
        <v>0</v>
      </c>
      <c r="D188" s="17"/>
      <c r="E188" s="17"/>
      <c r="F188" s="19"/>
      <c r="I188" s="83"/>
      <c r="J188" s="83"/>
    </row>
    <row r="189" spans="1:10" x14ac:dyDescent="0.2">
      <c r="A189" s="15" t="s">
        <v>105</v>
      </c>
      <c r="B189" s="16" t="s">
        <v>2</v>
      </c>
      <c r="C189" s="139">
        <f>IFERROR(VLOOKUP(C187,'5. Depreciação'!A3:B17,2,FALSE),0)</f>
        <v>65.180000000000007</v>
      </c>
      <c r="D189" s="17">
        <f>E186</f>
        <v>555000</v>
      </c>
      <c r="E189" s="17">
        <f>C189*D189/100</f>
        <v>361749.00000000006</v>
      </c>
    </row>
    <row r="190" spans="1:10" ht="13.5" thickBot="1" x14ac:dyDescent="0.25">
      <c r="A190" s="271" t="s">
        <v>49</v>
      </c>
      <c r="B190" s="272" t="s">
        <v>8</v>
      </c>
      <c r="C190" s="272">
        <f>C187*12</f>
        <v>120</v>
      </c>
      <c r="D190" s="273">
        <f>IF(C188&lt;=C187,E189,0)</f>
        <v>361749.00000000006</v>
      </c>
      <c r="E190" s="273">
        <f>IFERROR(D190/C190,0)</f>
        <v>3014.5750000000003</v>
      </c>
    </row>
    <row r="191" spans="1:10" ht="13.5" thickTop="1" x14ac:dyDescent="0.2">
      <c r="A191" s="297" t="s">
        <v>298</v>
      </c>
      <c r="B191" s="13" t="s">
        <v>10</v>
      </c>
      <c r="C191" s="13">
        <f>C186</f>
        <v>1</v>
      </c>
      <c r="D191" s="85">
        <v>230000</v>
      </c>
      <c r="E191" s="14">
        <f>C191*D191</f>
        <v>230000</v>
      </c>
      <c r="G191" s="6" t="s">
        <v>297</v>
      </c>
      <c r="H191" s="8">
        <v>37744</v>
      </c>
    </row>
    <row r="192" spans="1:10" x14ac:dyDescent="0.2">
      <c r="A192" s="311" t="s">
        <v>299</v>
      </c>
      <c r="B192" s="16" t="s">
        <v>104</v>
      </c>
      <c r="C192" s="84">
        <v>10</v>
      </c>
      <c r="D192" s="17"/>
      <c r="E192" s="17"/>
    </row>
    <row r="193" spans="1:10" x14ac:dyDescent="0.2">
      <c r="A193" s="311" t="s">
        <v>300</v>
      </c>
      <c r="B193" s="16" t="s">
        <v>104</v>
      </c>
      <c r="C193" s="84">
        <v>0</v>
      </c>
      <c r="D193" s="17"/>
      <c r="E193" s="17"/>
      <c r="F193" s="19"/>
      <c r="I193" s="83"/>
      <c r="J193" s="83"/>
    </row>
    <row r="194" spans="1:10" x14ac:dyDescent="0.2">
      <c r="A194" s="311" t="s">
        <v>301</v>
      </c>
      <c r="B194" s="16" t="s">
        <v>2</v>
      </c>
      <c r="C194" s="140">
        <f>IFERROR(VLOOKUP(C192,'5. Depreciação'!A3:B17,2,FALSE),0)</f>
        <v>65.180000000000007</v>
      </c>
      <c r="D194" s="17">
        <f>E191</f>
        <v>230000</v>
      </c>
      <c r="E194" s="17">
        <f>C194*D194/100</f>
        <v>149914.00000000003</v>
      </c>
    </row>
    <row r="195" spans="1:10" x14ac:dyDescent="0.2">
      <c r="A195" s="101" t="s">
        <v>302</v>
      </c>
      <c r="B195" s="102" t="s">
        <v>8</v>
      </c>
      <c r="C195" s="102">
        <f>C192*12</f>
        <v>120</v>
      </c>
      <c r="D195" s="103">
        <f>IF(C193&lt;=C192,E194,0)</f>
        <v>149914.00000000003</v>
      </c>
      <c r="E195" s="103">
        <f>IFERROR(D195/C195,0)</f>
        <v>1249.2833333333335</v>
      </c>
    </row>
    <row r="196" spans="1:10" x14ac:dyDescent="0.2">
      <c r="A196" s="115" t="s">
        <v>253</v>
      </c>
      <c r="B196" s="116"/>
      <c r="C196" s="116"/>
      <c r="D196" s="117"/>
      <c r="E196" s="118">
        <f>E190+E195</f>
        <v>4263.8583333333336</v>
      </c>
    </row>
    <row r="197" spans="1:10" ht="13.5" thickBot="1" x14ac:dyDescent="0.25">
      <c r="A197" s="101" t="s">
        <v>254</v>
      </c>
      <c r="B197" s="102" t="s">
        <v>10</v>
      </c>
      <c r="C197" s="84">
        <v>1</v>
      </c>
      <c r="D197" s="103">
        <f>E196</f>
        <v>4263.8583333333336</v>
      </c>
      <c r="E197" s="118">
        <f>C197*D197</f>
        <v>4263.8583333333336</v>
      </c>
    </row>
    <row r="198" spans="1:10" ht="13.5" thickBot="1" x14ac:dyDescent="0.25">
      <c r="A198" s="267"/>
      <c r="B198" s="267"/>
      <c r="C198" s="267"/>
      <c r="D198" s="122" t="s">
        <v>192</v>
      </c>
      <c r="E198" s="48">
        <f>$B$51</f>
        <v>1</v>
      </c>
      <c r="F198" s="20">
        <f>E197*E198</f>
        <v>4263.8583333333336</v>
      </c>
    </row>
    <row r="199" spans="1:10" ht="11.25" customHeight="1" x14ac:dyDescent="0.2"/>
    <row r="200" spans="1:10" ht="13.5" thickBot="1" x14ac:dyDescent="0.25">
      <c r="A200" s="105" t="s">
        <v>111</v>
      </c>
    </row>
    <row r="201" spans="1:10" ht="13.5" thickBot="1" x14ac:dyDescent="0.25">
      <c r="A201" s="107" t="s">
        <v>63</v>
      </c>
      <c r="B201" s="108" t="s">
        <v>64</v>
      </c>
      <c r="C201" s="108" t="s">
        <v>40</v>
      </c>
      <c r="D201" s="60" t="s">
        <v>230</v>
      </c>
      <c r="E201" s="109" t="s">
        <v>65</v>
      </c>
      <c r="F201" s="61" t="s">
        <v>66</v>
      </c>
      <c r="I201" s="83"/>
      <c r="J201" s="83"/>
    </row>
    <row r="202" spans="1:10" x14ac:dyDescent="0.2">
      <c r="A202" s="15" t="s">
        <v>109</v>
      </c>
      <c r="B202" s="16" t="s">
        <v>10</v>
      </c>
      <c r="C202" s="268">
        <v>1</v>
      </c>
      <c r="D202" s="17">
        <f>D186</f>
        <v>555000</v>
      </c>
      <c r="E202" s="17">
        <f>C202*D202</f>
        <v>555000</v>
      </c>
      <c r="F202" s="19"/>
      <c r="I202" s="83"/>
      <c r="J202" s="83"/>
    </row>
    <row r="203" spans="1:10" x14ac:dyDescent="0.2">
      <c r="A203" s="15" t="s">
        <v>207</v>
      </c>
      <c r="B203" s="16" t="s">
        <v>2</v>
      </c>
      <c r="C203" s="84">
        <v>7.75</v>
      </c>
      <c r="D203" s="17"/>
      <c r="E203" s="17"/>
      <c r="F203" s="19"/>
      <c r="I203" s="83"/>
      <c r="J203" s="83"/>
    </row>
    <row r="204" spans="1:10" x14ac:dyDescent="0.2">
      <c r="A204" s="15" t="s">
        <v>205</v>
      </c>
      <c r="B204" s="16" t="s">
        <v>33</v>
      </c>
      <c r="C204" s="147">
        <f>IFERROR(IF(C188&lt;=C187,E186-(C189/(100*C187)*C188)*E186,E186-E189),0)</f>
        <v>555000</v>
      </c>
      <c r="D204" s="17"/>
      <c r="E204" s="17"/>
      <c r="F204" s="19"/>
      <c r="I204" s="83"/>
      <c r="J204" s="83"/>
    </row>
    <row r="205" spans="1:10" x14ac:dyDescent="0.2">
      <c r="A205" s="15" t="s">
        <v>114</v>
      </c>
      <c r="B205" s="16" t="s">
        <v>33</v>
      </c>
      <c r="C205" s="81">
        <f>IFERROR(IF(C188&gt;=C187,C204,((((C204)-(E186-E189))*(((C187-C188)+1)/(2*(C187-C188))))+(E186-E189))),0)</f>
        <v>392212.94999999995</v>
      </c>
      <c r="D205" s="17"/>
      <c r="E205" s="17"/>
      <c r="F205" s="19"/>
      <c r="I205" s="83"/>
      <c r="J205" s="83"/>
    </row>
    <row r="206" spans="1:10" ht="13.5" thickBot="1" x14ac:dyDescent="0.25">
      <c r="A206" s="271" t="s">
        <v>115</v>
      </c>
      <c r="B206" s="272" t="s">
        <v>33</v>
      </c>
      <c r="C206" s="272"/>
      <c r="D206" s="274">
        <f>C203*C205/12/100</f>
        <v>2533.0419687499998</v>
      </c>
      <c r="E206" s="273">
        <f>D206</f>
        <v>2533.0419687499998</v>
      </c>
      <c r="F206" s="19"/>
      <c r="I206" s="83"/>
      <c r="J206" s="83"/>
    </row>
    <row r="207" spans="1:10" ht="13.5" thickTop="1" x14ac:dyDescent="0.2">
      <c r="A207" s="12" t="s">
        <v>110</v>
      </c>
      <c r="B207" s="13" t="s">
        <v>10</v>
      </c>
      <c r="C207" s="13">
        <f>C191</f>
        <v>1</v>
      </c>
      <c r="D207" s="14">
        <f>D191</f>
        <v>230000</v>
      </c>
      <c r="E207" s="14">
        <f>C207*D207</f>
        <v>230000</v>
      </c>
      <c r="F207" s="19"/>
      <c r="I207" s="83"/>
      <c r="J207" s="83"/>
    </row>
    <row r="208" spans="1:10" x14ac:dyDescent="0.2">
      <c r="A208" s="15" t="s">
        <v>207</v>
      </c>
      <c r="B208" s="16" t="s">
        <v>2</v>
      </c>
      <c r="C208" s="269">
        <f>C203</f>
        <v>7.75</v>
      </c>
      <c r="D208" s="17"/>
      <c r="E208" s="17"/>
      <c r="F208" s="19"/>
      <c r="I208" s="83"/>
      <c r="J208" s="83"/>
    </row>
    <row r="209" spans="1:10" x14ac:dyDescent="0.2">
      <c r="A209" s="15" t="s">
        <v>206</v>
      </c>
      <c r="B209" s="16" t="s">
        <v>33</v>
      </c>
      <c r="C209" s="147">
        <f>IFERROR(IF(C193&lt;=C192,E191-(C194/(100*C192)*C193)*E191,E191-E194),0)</f>
        <v>230000</v>
      </c>
      <c r="D209" s="17"/>
      <c r="E209" s="17"/>
      <c r="F209" s="19"/>
      <c r="I209" s="83"/>
      <c r="J209" s="83"/>
    </row>
    <row r="210" spans="1:10" x14ac:dyDescent="0.2">
      <c r="A210" s="15" t="s">
        <v>116</v>
      </c>
      <c r="B210" s="16" t="s">
        <v>33</v>
      </c>
      <c r="C210" s="81">
        <f>IFERROR(IF(C193&gt;=C192,C209,((((C209)-(E191-E194))*(((C192-C193)+1)/(2*(C192-C193))))+(E191-E194))),0)</f>
        <v>162538.70000000001</v>
      </c>
      <c r="D210" s="17"/>
      <c r="E210" s="17"/>
      <c r="F210" s="19"/>
      <c r="I210" s="83"/>
      <c r="J210" s="83"/>
    </row>
    <row r="211" spans="1:10" x14ac:dyDescent="0.2">
      <c r="A211" s="101" t="s">
        <v>113</v>
      </c>
      <c r="B211" s="102" t="s">
        <v>33</v>
      </c>
      <c r="C211" s="102"/>
      <c r="D211" s="111">
        <f>C208*C210/12/100</f>
        <v>1049.7291041666667</v>
      </c>
      <c r="E211" s="103">
        <f>D211</f>
        <v>1049.7291041666667</v>
      </c>
      <c r="F211" s="19"/>
      <c r="I211" s="83"/>
      <c r="J211" s="83"/>
    </row>
    <row r="212" spans="1:10" x14ac:dyDescent="0.2">
      <c r="A212" s="115" t="s">
        <v>253</v>
      </c>
      <c r="B212" s="116"/>
      <c r="C212" s="116"/>
      <c r="D212" s="117"/>
      <c r="E212" s="118">
        <f>E206+E211</f>
        <v>3582.7710729166665</v>
      </c>
      <c r="F212" s="19"/>
      <c r="I212" s="83"/>
      <c r="J212" s="83"/>
    </row>
    <row r="213" spans="1:10" ht="13.5" thickBot="1" x14ac:dyDescent="0.25">
      <c r="A213" s="101" t="s">
        <v>254</v>
      </c>
      <c r="B213" s="102" t="s">
        <v>10</v>
      </c>
      <c r="C213" s="269">
        <f>C197</f>
        <v>1</v>
      </c>
      <c r="D213" s="103">
        <f>E212</f>
        <v>3582.7710729166665</v>
      </c>
      <c r="E213" s="118">
        <f>C213*D213</f>
        <v>3582.7710729166665</v>
      </c>
      <c r="F213" s="19"/>
      <c r="I213" s="83"/>
      <c r="J213" s="83"/>
    </row>
    <row r="214" spans="1:10" ht="13.5" thickBot="1" x14ac:dyDescent="0.25">
      <c r="C214" s="18"/>
      <c r="D214" s="122" t="s">
        <v>192</v>
      </c>
      <c r="E214" s="48">
        <f>$B$51</f>
        <v>1</v>
      </c>
      <c r="F214" s="20">
        <f>E213*E214</f>
        <v>3582.7710729166665</v>
      </c>
      <c r="I214" s="83"/>
      <c r="J214" s="83"/>
    </row>
    <row r="215" spans="1:10" ht="11.25" customHeight="1" x14ac:dyDescent="0.2">
      <c r="I215" s="83"/>
      <c r="J215" s="83"/>
    </row>
    <row r="216" spans="1:10" ht="13.5" thickBot="1" x14ac:dyDescent="0.25">
      <c r="A216" s="8" t="s">
        <v>50</v>
      </c>
      <c r="I216" s="83"/>
      <c r="J216" s="83"/>
    </row>
    <row r="217" spans="1:10" ht="13.5" thickBot="1" x14ac:dyDescent="0.25">
      <c r="A217" s="58" t="s">
        <v>63</v>
      </c>
      <c r="B217" s="59" t="s">
        <v>64</v>
      </c>
      <c r="C217" s="59" t="s">
        <v>40</v>
      </c>
      <c r="D217" s="60" t="s">
        <v>230</v>
      </c>
      <c r="E217" s="60" t="s">
        <v>65</v>
      </c>
      <c r="F217" s="61" t="s">
        <v>66</v>
      </c>
      <c r="I217" s="83"/>
      <c r="J217" s="83"/>
    </row>
    <row r="218" spans="1:10" x14ac:dyDescent="0.2">
      <c r="A218" s="12" t="s">
        <v>12</v>
      </c>
      <c r="B218" s="13" t="s">
        <v>10</v>
      </c>
      <c r="C218" s="14">
        <f>C197</f>
        <v>1</v>
      </c>
      <c r="D218" s="14">
        <f>0.01*($E$186)</f>
        <v>5550</v>
      </c>
      <c r="E218" s="14">
        <f>C218*D218</f>
        <v>5550</v>
      </c>
      <c r="I218" s="83"/>
      <c r="J218" s="83"/>
    </row>
    <row r="219" spans="1:10" x14ac:dyDescent="0.2">
      <c r="A219" s="15" t="s">
        <v>191</v>
      </c>
      <c r="B219" s="16" t="s">
        <v>10</v>
      </c>
      <c r="C219" s="14">
        <f>C197</f>
        <v>1</v>
      </c>
      <c r="D219" s="87">
        <v>226.86</v>
      </c>
      <c r="E219" s="17">
        <f>C219*D219</f>
        <v>226.86</v>
      </c>
      <c r="I219" s="83"/>
      <c r="J219" s="83"/>
    </row>
    <row r="220" spans="1:10" x14ac:dyDescent="0.2">
      <c r="A220" s="15" t="s">
        <v>13</v>
      </c>
      <c r="B220" s="16" t="s">
        <v>10</v>
      </c>
      <c r="C220" s="14">
        <f>C197</f>
        <v>1</v>
      </c>
      <c r="D220" s="87"/>
      <c r="E220" s="17">
        <f>C220*D220</f>
        <v>0</v>
      </c>
      <c r="F220" s="30"/>
      <c r="I220" s="83"/>
      <c r="J220" s="83"/>
    </row>
    <row r="221" spans="1:10" ht="13.5" thickBot="1" x14ac:dyDescent="0.25">
      <c r="A221" s="101" t="s">
        <v>14</v>
      </c>
      <c r="B221" s="102" t="s">
        <v>8</v>
      </c>
      <c r="C221" s="102">
        <v>12</v>
      </c>
      <c r="D221" s="103">
        <f>SUM(E218:E220)</f>
        <v>5776.86</v>
      </c>
      <c r="E221" s="103">
        <f>D221/C221</f>
        <v>481.40499999999997</v>
      </c>
      <c r="I221" s="83"/>
      <c r="J221" s="83"/>
    </row>
    <row r="222" spans="1:10" ht="13.5" thickBot="1" x14ac:dyDescent="0.25">
      <c r="D222" s="122" t="s">
        <v>192</v>
      </c>
      <c r="E222" s="48">
        <f>$B$51</f>
        <v>1</v>
      </c>
      <c r="F222" s="123">
        <f>E221*E222</f>
        <v>481.40499999999997</v>
      </c>
      <c r="I222" s="83"/>
      <c r="J222" s="83"/>
    </row>
    <row r="223" spans="1:10" ht="11.25" customHeight="1" x14ac:dyDescent="0.2">
      <c r="I223" s="83"/>
      <c r="J223" s="83"/>
    </row>
    <row r="224" spans="1:10" x14ac:dyDescent="0.2">
      <c r="A224" s="8" t="s">
        <v>51</v>
      </c>
      <c r="B224" s="31"/>
      <c r="I224" s="83"/>
      <c r="J224" s="83"/>
    </row>
    <row r="225" spans="1:10" x14ac:dyDescent="0.2">
      <c r="B225" s="31"/>
      <c r="I225" s="83"/>
      <c r="J225" s="83"/>
    </row>
    <row r="226" spans="1:10" x14ac:dyDescent="0.2">
      <c r="A226" s="101" t="s">
        <v>118</v>
      </c>
      <c r="B226" s="112">
        <f>143*26*2</f>
        <v>7436</v>
      </c>
      <c r="C226" s="6" t="s">
        <v>312</v>
      </c>
      <c r="I226" s="83"/>
      <c r="J226" s="83"/>
    </row>
    <row r="227" spans="1:10" ht="13.5" thickBot="1" x14ac:dyDescent="0.25">
      <c r="B227" s="31"/>
      <c r="I227" s="83"/>
      <c r="J227" s="83"/>
    </row>
    <row r="228" spans="1:10" ht="13.5" thickBot="1" x14ac:dyDescent="0.25">
      <c r="A228" s="58" t="s">
        <v>63</v>
      </c>
      <c r="B228" s="59" t="s">
        <v>64</v>
      </c>
      <c r="C228" s="59" t="s">
        <v>252</v>
      </c>
      <c r="D228" s="60" t="s">
        <v>230</v>
      </c>
      <c r="E228" s="60" t="s">
        <v>65</v>
      </c>
      <c r="F228" s="61" t="s">
        <v>66</v>
      </c>
      <c r="I228" s="83"/>
      <c r="J228" s="83"/>
    </row>
    <row r="229" spans="1:10" x14ac:dyDescent="0.2">
      <c r="A229" s="12" t="s">
        <v>15</v>
      </c>
      <c r="B229" s="13" t="s">
        <v>16</v>
      </c>
      <c r="C229" s="95">
        <v>2</v>
      </c>
      <c r="D229" s="96">
        <v>5.25</v>
      </c>
      <c r="E229" s="14"/>
      <c r="I229" s="83"/>
      <c r="J229" s="83"/>
    </row>
    <row r="230" spans="1:10" x14ac:dyDescent="0.2">
      <c r="A230" s="15" t="s">
        <v>17</v>
      </c>
      <c r="B230" s="16" t="s">
        <v>18</v>
      </c>
      <c r="C230" s="92">
        <f>B226</f>
        <v>7436</v>
      </c>
      <c r="D230" s="266">
        <f>IFERROR(+D229/C229,"-")</f>
        <v>2.625</v>
      </c>
      <c r="E230" s="17">
        <f>IFERROR(C230*D230,"-")</f>
        <v>19519.5</v>
      </c>
      <c r="I230" s="83"/>
      <c r="J230" s="83"/>
    </row>
    <row r="231" spans="1:10" x14ac:dyDescent="0.2">
      <c r="A231" s="15" t="s">
        <v>231</v>
      </c>
      <c r="B231" s="16" t="s">
        <v>19</v>
      </c>
      <c r="C231" s="98">
        <v>3.45</v>
      </c>
      <c r="D231" s="87">
        <f>428/20</f>
        <v>21.4</v>
      </c>
      <c r="E231" s="17"/>
      <c r="G231" s="110"/>
      <c r="H231" s="50"/>
      <c r="I231" s="83"/>
      <c r="J231" s="83"/>
    </row>
    <row r="232" spans="1:10" x14ac:dyDescent="0.2">
      <c r="A232" s="15" t="s">
        <v>20</v>
      </c>
      <c r="B232" s="16" t="s">
        <v>18</v>
      </c>
      <c r="C232" s="92">
        <f>C230</f>
        <v>7436</v>
      </c>
      <c r="D232" s="263">
        <f>+C231*D231/1000</f>
        <v>7.3829999999999993E-2</v>
      </c>
      <c r="E232" s="17">
        <f>C232*D232</f>
        <v>548.99987999999996</v>
      </c>
      <c r="G232" s="110"/>
      <c r="H232" s="50"/>
      <c r="I232" s="83"/>
      <c r="J232" s="83"/>
    </row>
    <row r="233" spans="1:10" x14ac:dyDescent="0.2">
      <c r="A233" s="15" t="s">
        <v>232</v>
      </c>
      <c r="B233" s="16" t="s">
        <v>19</v>
      </c>
      <c r="C233" s="98">
        <v>0.85</v>
      </c>
      <c r="D233" s="87">
        <f>475/20</f>
        <v>23.75</v>
      </c>
      <c r="E233" s="17"/>
      <c r="G233" s="110"/>
      <c r="H233" s="50"/>
      <c r="I233" s="83"/>
      <c r="J233" s="83"/>
    </row>
    <row r="234" spans="1:10" x14ac:dyDescent="0.2">
      <c r="A234" s="15" t="s">
        <v>21</v>
      </c>
      <c r="B234" s="16" t="s">
        <v>18</v>
      </c>
      <c r="C234" s="92">
        <f>C230</f>
        <v>7436</v>
      </c>
      <c r="D234" s="263">
        <f>+C233*D233/1000</f>
        <v>2.0187500000000001E-2</v>
      </c>
      <c r="E234" s="17">
        <f>C234*D234</f>
        <v>150.11425</v>
      </c>
      <c r="G234" s="110"/>
      <c r="H234" s="50"/>
      <c r="I234" s="83"/>
      <c r="J234" s="83"/>
    </row>
    <row r="235" spans="1:10" x14ac:dyDescent="0.2">
      <c r="A235" s="15" t="s">
        <v>233</v>
      </c>
      <c r="B235" s="16" t="s">
        <v>19</v>
      </c>
      <c r="C235" s="98">
        <v>1.5</v>
      </c>
      <c r="D235" s="87">
        <f>346.5/20</f>
        <v>17.324999999999999</v>
      </c>
      <c r="E235" s="17"/>
      <c r="G235" s="110"/>
      <c r="H235" s="50"/>
      <c r="I235" s="83"/>
      <c r="J235" s="83"/>
    </row>
    <row r="236" spans="1:10" x14ac:dyDescent="0.2">
      <c r="A236" s="15" t="s">
        <v>22</v>
      </c>
      <c r="B236" s="16" t="s">
        <v>18</v>
      </c>
      <c r="C236" s="92">
        <f>C230</f>
        <v>7436</v>
      </c>
      <c r="D236" s="263">
        <f>+C235*D235/1000</f>
        <v>2.5987499999999997E-2</v>
      </c>
      <c r="E236" s="17">
        <f>C236*D236</f>
        <v>193.24304999999998</v>
      </c>
      <c r="G236" s="110"/>
      <c r="H236" s="50"/>
      <c r="I236" s="83"/>
      <c r="J236" s="83"/>
    </row>
    <row r="237" spans="1:10" x14ac:dyDescent="0.2">
      <c r="A237" s="15" t="s">
        <v>23</v>
      </c>
      <c r="B237" s="16" t="s">
        <v>24</v>
      </c>
      <c r="C237" s="98">
        <v>0.25</v>
      </c>
      <c r="D237" s="87">
        <f>431.5/20</f>
        <v>21.574999999999999</v>
      </c>
      <c r="E237" s="17"/>
      <c r="G237" s="110"/>
      <c r="H237" s="50"/>
      <c r="I237" s="83"/>
      <c r="J237" s="83"/>
    </row>
    <row r="238" spans="1:10" x14ac:dyDescent="0.2">
      <c r="A238" s="15" t="s">
        <v>25</v>
      </c>
      <c r="B238" s="16" t="s">
        <v>18</v>
      </c>
      <c r="C238" s="92">
        <f>C230</f>
        <v>7436</v>
      </c>
      <c r="D238" s="263">
        <f>+C237*D237/1000</f>
        <v>5.3937500000000001E-3</v>
      </c>
      <c r="E238" s="17">
        <f>C238*D238</f>
        <v>40.107925000000002</v>
      </c>
      <c r="G238" s="110"/>
      <c r="H238" s="50"/>
      <c r="I238" s="83"/>
      <c r="J238" s="83"/>
    </row>
    <row r="239" spans="1:10" ht="13.5" thickBot="1" x14ac:dyDescent="0.25">
      <c r="A239" s="101" t="s">
        <v>251</v>
      </c>
      <c r="B239" s="102" t="s">
        <v>119</v>
      </c>
      <c r="C239" s="264"/>
      <c r="D239" s="265">
        <f>IFERROR(D230+D232+D234+D236+D238,0)</f>
        <v>2.75039875</v>
      </c>
      <c r="E239" s="17"/>
      <c r="G239" s="110"/>
      <c r="H239" s="50"/>
      <c r="I239" s="83"/>
      <c r="J239" s="83"/>
    </row>
    <row r="240" spans="1:10" ht="13.5" thickBot="1" x14ac:dyDescent="0.25">
      <c r="F240" s="20">
        <f>SUM(E229:E238)</f>
        <v>20451.965104999999</v>
      </c>
      <c r="I240" s="83"/>
      <c r="J240" s="83"/>
    </row>
    <row r="241" spans="1:10" ht="11.25" customHeight="1" x14ac:dyDescent="0.2">
      <c r="I241" s="83"/>
      <c r="J241" s="83"/>
    </row>
    <row r="242" spans="1:10" ht="13.5" thickBot="1" x14ac:dyDescent="0.25">
      <c r="A242" s="8" t="s">
        <v>52</v>
      </c>
      <c r="I242" s="83"/>
      <c r="J242" s="83"/>
    </row>
    <row r="243" spans="1:10" ht="13.5" thickBot="1" x14ac:dyDescent="0.25">
      <c r="A243" s="58" t="s">
        <v>63</v>
      </c>
      <c r="B243" s="59" t="s">
        <v>64</v>
      </c>
      <c r="C243" s="59" t="s">
        <v>40</v>
      </c>
      <c r="D243" s="60" t="s">
        <v>230</v>
      </c>
      <c r="E243" s="60" t="s">
        <v>65</v>
      </c>
      <c r="F243" s="61" t="s">
        <v>66</v>
      </c>
      <c r="I243" s="83"/>
      <c r="J243" s="83"/>
    </row>
    <row r="244" spans="1:10" ht="13.5" thickBot="1" x14ac:dyDescent="0.25">
      <c r="A244" s="12" t="s">
        <v>117</v>
      </c>
      <c r="B244" s="13" t="s">
        <v>119</v>
      </c>
      <c r="C244" s="92">
        <f>C230</f>
        <v>7436</v>
      </c>
      <c r="D244" s="85">
        <v>0.75</v>
      </c>
      <c r="E244" s="14">
        <f>C244*D244</f>
        <v>5577</v>
      </c>
      <c r="I244" s="83"/>
      <c r="J244" s="83"/>
    </row>
    <row r="245" spans="1:10" ht="13.5" thickBot="1" x14ac:dyDescent="0.25">
      <c r="F245" s="20">
        <f>E244</f>
        <v>5577</v>
      </c>
      <c r="I245" s="83"/>
      <c r="J245" s="83"/>
    </row>
    <row r="246" spans="1:10" ht="11.25" customHeight="1" x14ac:dyDescent="0.2">
      <c r="I246" s="83"/>
      <c r="J246" s="83"/>
    </row>
    <row r="247" spans="1:10" ht="13.5" thickBot="1" x14ac:dyDescent="0.25">
      <c r="A247" s="8" t="s">
        <v>61</v>
      </c>
      <c r="I247" s="83"/>
      <c r="J247" s="83"/>
    </row>
    <row r="248" spans="1:10" ht="13.5" thickBot="1" x14ac:dyDescent="0.25">
      <c r="A248" s="58" t="s">
        <v>63</v>
      </c>
      <c r="B248" s="59" t="s">
        <v>64</v>
      </c>
      <c r="C248" s="59" t="s">
        <v>40</v>
      </c>
      <c r="D248" s="60" t="s">
        <v>230</v>
      </c>
      <c r="E248" s="60" t="s">
        <v>65</v>
      </c>
      <c r="F248" s="61" t="s">
        <v>66</v>
      </c>
      <c r="I248" s="83"/>
      <c r="J248" s="83"/>
    </row>
    <row r="249" spans="1:10" x14ac:dyDescent="0.2">
      <c r="A249" s="297" t="s">
        <v>314</v>
      </c>
      <c r="B249" s="13" t="s">
        <v>10</v>
      </c>
      <c r="C249" s="94">
        <v>22</v>
      </c>
      <c r="D249" s="85">
        <v>2090</v>
      </c>
      <c r="E249" s="14">
        <f>C249*D249</f>
        <v>45980</v>
      </c>
      <c r="I249" s="83"/>
      <c r="J249" s="83"/>
    </row>
    <row r="250" spans="1:10" x14ac:dyDescent="0.2">
      <c r="A250" s="12" t="s">
        <v>120</v>
      </c>
      <c r="B250" s="13" t="s">
        <v>10</v>
      </c>
      <c r="C250" s="94">
        <v>2</v>
      </c>
      <c r="D250" s="104"/>
      <c r="E250" s="14"/>
      <c r="I250" s="83"/>
      <c r="J250" s="83"/>
    </row>
    <row r="251" spans="1:10" x14ac:dyDescent="0.2">
      <c r="A251" s="12" t="s">
        <v>70</v>
      </c>
      <c r="B251" s="13" t="s">
        <v>10</v>
      </c>
      <c r="C251" s="14">
        <f>C249*C250</f>
        <v>44</v>
      </c>
      <c r="D251" s="85">
        <v>660</v>
      </c>
      <c r="E251" s="14">
        <f>C251*D251</f>
        <v>29040</v>
      </c>
      <c r="I251" s="83"/>
      <c r="J251" s="83"/>
    </row>
    <row r="252" spans="1:10" x14ac:dyDescent="0.2">
      <c r="A252" s="15" t="s">
        <v>96</v>
      </c>
      <c r="B252" s="16" t="s">
        <v>26</v>
      </c>
      <c r="C252" s="97">
        <v>50000</v>
      </c>
      <c r="D252" s="17">
        <f>E249+E251</f>
        <v>75020</v>
      </c>
      <c r="E252" s="17">
        <f>IFERROR(D252/C252,"-")</f>
        <v>1.5004</v>
      </c>
      <c r="I252" s="83"/>
      <c r="J252" s="83"/>
    </row>
    <row r="253" spans="1:10" ht="13.5" thickBot="1" x14ac:dyDescent="0.25">
      <c r="A253" s="15" t="s">
        <v>54</v>
      </c>
      <c r="B253" s="16" t="s">
        <v>18</v>
      </c>
      <c r="C253" s="92">
        <f>B226</f>
        <v>7436</v>
      </c>
      <c r="D253" s="17">
        <f>E252</f>
        <v>1.5004</v>
      </c>
      <c r="E253" s="17">
        <f>IFERROR(C253*D253,0)</f>
        <v>11156.974399999999</v>
      </c>
      <c r="I253" s="83"/>
      <c r="J253" s="83"/>
    </row>
    <row r="254" spans="1:10" ht="13.5" thickBot="1" x14ac:dyDescent="0.25">
      <c r="F254" s="20">
        <f>E253</f>
        <v>11156.974399999999</v>
      </c>
      <c r="I254" s="83"/>
      <c r="J254" s="83"/>
    </row>
    <row r="255" spans="1:10" ht="11.25" customHeight="1" x14ac:dyDescent="0.2">
      <c r="I255" s="83"/>
      <c r="J255" s="83"/>
    </row>
    <row r="256" spans="1:10" ht="11.25" customHeight="1" thickBot="1" x14ac:dyDescent="0.25">
      <c r="G256" s="8"/>
    </row>
    <row r="257" spans="1:7" ht="13.5" thickBot="1" x14ac:dyDescent="0.25">
      <c r="A257" s="23" t="s">
        <v>218</v>
      </c>
      <c r="B257" s="24"/>
      <c r="C257" s="24"/>
      <c r="D257" s="25"/>
      <c r="E257" s="26"/>
      <c r="F257" s="20">
        <f>+SUM(F186:F256)</f>
        <v>45513.973911250003</v>
      </c>
      <c r="G257" s="8"/>
    </row>
    <row r="258" spans="1:7" ht="11.25" customHeight="1" x14ac:dyDescent="0.2">
      <c r="G258" s="8"/>
    </row>
    <row r="259" spans="1:7" x14ac:dyDescent="0.2">
      <c r="A259" s="33" t="s">
        <v>74</v>
      </c>
      <c r="B259" s="33"/>
      <c r="C259" s="33"/>
      <c r="D259" s="34"/>
      <c r="E259" s="34"/>
      <c r="F259" s="32"/>
      <c r="G259" s="8"/>
    </row>
    <row r="260" spans="1:7" ht="11.25" customHeight="1" thickBot="1" x14ac:dyDescent="0.25">
      <c r="G260" s="8"/>
    </row>
    <row r="261" spans="1:7" ht="13.5" thickBot="1" x14ac:dyDescent="0.25">
      <c r="A261" s="58" t="s">
        <v>63</v>
      </c>
      <c r="B261" s="59" t="s">
        <v>64</v>
      </c>
      <c r="C261" s="59" t="s">
        <v>40</v>
      </c>
      <c r="D261" s="60" t="s">
        <v>230</v>
      </c>
      <c r="E261" s="60" t="s">
        <v>65</v>
      </c>
      <c r="F261" s="61" t="s">
        <v>66</v>
      </c>
      <c r="G261" s="8"/>
    </row>
    <row r="262" spans="1:7" x14ac:dyDescent="0.2">
      <c r="A262" s="15" t="s">
        <v>71</v>
      </c>
      <c r="B262" s="16" t="s">
        <v>10</v>
      </c>
      <c r="C262" s="99">
        <v>0.33333333333333331</v>
      </c>
      <c r="D262" s="85">
        <v>41.4</v>
      </c>
      <c r="E262" s="17">
        <f>C262*D262</f>
        <v>13.799999999999999</v>
      </c>
      <c r="F262" s="53"/>
      <c r="G262" s="8"/>
    </row>
    <row r="263" spans="1:7" x14ac:dyDescent="0.2">
      <c r="A263" s="15" t="s">
        <v>27</v>
      </c>
      <c r="B263" s="16" t="s">
        <v>10</v>
      </c>
      <c r="C263" s="99"/>
      <c r="D263" s="85"/>
      <c r="E263" s="17">
        <f>C263*D263</f>
        <v>0</v>
      </c>
      <c r="F263" s="53"/>
      <c r="G263" s="8"/>
    </row>
    <row r="264" spans="1:7" x14ac:dyDescent="0.2">
      <c r="A264" s="15" t="s">
        <v>28</v>
      </c>
      <c r="B264" s="16" t="s">
        <v>10</v>
      </c>
      <c r="C264" s="99"/>
      <c r="D264" s="85"/>
      <c r="E264" s="17">
        <f>C264*D264</f>
        <v>0</v>
      </c>
      <c r="F264" s="53"/>
      <c r="G264" s="8"/>
    </row>
    <row r="265" spans="1:7" x14ac:dyDescent="0.2">
      <c r="A265" s="15" t="s">
        <v>56</v>
      </c>
      <c r="B265" s="16" t="s">
        <v>57</v>
      </c>
      <c r="C265" s="99"/>
      <c r="D265" s="85"/>
      <c r="E265" s="17">
        <f>C265*D265</f>
        <v>0</v>
      </c>
      <c r="F265" s="53"/>
      <c r="G265" s="8"/>
    </row>
    <row r="266" spans="1:7" ht="13.5" thickBot="1" x14ac:dyDescent="0.25">
      <c r="A266" s="15" t="s">
        <v>59</v>
      </c>
      <c r="B266" s="16" t="s">
        <v>57</v>
      </c>
      <c r="C266" s="99">
        <v>8.3333333333333329E-2</v>
      </c>
      <c r="D266" s="85">
        <v>52.5</v>
      </c>
      <c r="E266" s="17">
        <f>C266*D266</f>
        <v>4.375</v>
      </c>
      <c r="F266" s="53"/>
      <c r="G266" s="8"/>
    </row>
    <row r="267" spans="1:7" ht="13.5" thickBot="1" x14ac:dyDescent="0.25">
      <c r="A267" s="33"/>
      <c r="B267" s="33"/>
      <c r="C267" s="33"/>
      <c r="D267" s="33"/>
      <c r="E267" s="34"/>
      <c r="F267" s="20">
        <f>SUM(E262:E266)</f>
        <v>18.174999999999997</v>
      </c>
      <c r="G267" s="8"/>
    </row>
    <row r="268" spans="1:7" ht="11.25" customHeight="1" thickBot="1" x14ac:dyDescent="0.25">
      <c r="G268" s="8"/>
    </row>
    <row r="269" spans="1:7" ht="13.5" thickBot="1" x14ac:dyDescent="0.25">
      <c r="A269" s="23" t="s">
        <v>219</v>
      </c>
      <c r="B269" s="24"/>
      <c r="C269" s="24"/>
      <c r="D269" s="25"/>
      <c r="E269" s="26"/>
      <c r="F269" s="20">
        <f>+F267</f>
        <v>18.174999999999997</v>
      </c>
      <c r="G269" s="8"/>
    </row>
    <row r="270" spans="1:7" ht="11.25" customHeight="1" x14ac:dyDescent="0.2">
      <c r="G270" s="8"/>
    </row>
    <row r="271" spans="1:7" x14ac:dyDescent="0.2">
      <c r="A271" s="33" t="s">
        <v>75</v>
      </c>
      <c r="B271" s="33"/>
      <c r="C271" s="33"/>
      <c r="D271" s="34"/>
      <c r="E271" s="34"/>
      <c r="F271" s="32"/>
    </row>
    <row r="272" spans="1:7" ht="11.25" customHeight="1" thickBot="1" x14ac:dyDescent="0.25"/>
    <row r="273" spans="1:7" ht="13.5" thickBot="1" x14ac:dyDescent="0.25">
      <c r="A273" s="58" t="s">
        <v>63</v>
      </c>
      <c r="B273" s="59" t="s">
        <v>64</v>
      </c>
      <c r="C273" s="59" t="s">
        <v>40</v>
      </c>
      <c r="D273" s="60" t="s">
        <v>230</v>
      </c>
      <c r="E273" s="60" t="s">
        <v>65</v>
      </c>
      <c r="F273" s="61" t="s">
        <v>66</v>
      </c>
    </row>
    <row r="274" spans="1:7" x14ac:dyDescent="0.2">
      <c r="A274" s="15" t="s">
        <v>216</v>
      </c>
      <c r="B274" s="51" t="s">
        <v>57</v>
      </c>
      <c r="C274" s="67">
        <f>C186</f>
        <v>1</v>
      </c>
      <c r="D274" s="87"/>
      <c r="E274" s="17">
        <f>+D274*C274</f>
        <v>0</v>
      </c>
      <c r="F274" s="53"/>
    </row>
    <row r="275" spans="1:7" x14ac:dyDescent="0.2">
      <c r="A275" s="15" t="s">
        <v>60</v>
      </c>
      <c r="B275" s="51" t="s">
        <v>8</v>
      </c>
      <c r="C275" s="153">
        <v>60</v>
      </c>
      <c r="D275" s="78">
        <f>SUM(E274:E274)</f>
        <v>0</v>
      </c>
      <c r="E275" s="78">
        <f>+D275/C275</f>
        <v>0</v>
      </c>
      <c r="F275" s="53"/>
    </row>
    <row r="276" spans="1:7" x14ac:dyDescent="0.2">
      <c r="A276" s="15" t="s">
        <v>217</v>
      </c>
      <c r="B276" s="16" t="s">
        <v>10</v>
      </c>
      <c r="C276" s="67">
        <f>+C274</f>
        <v>1</v>
      </c>
      <c r="D276" s="87"/>
      <c r="E276" s="17">
        <f>C276*D276</f>
        <v>0</v>
      </c>
      <c r="F276" s="53"/>
    </row>
    <row r="277" spans="1:7" ht="13.5" thickBot="1" x14ac:dyDescent="0.25">
      <c r="A277" s="15" t="s">
        <v>37</v>
      </c>
      <c r="B277" s="51" t="s">
        <v>8</v>
      </c>
      <c r="C277" s="153">
        <v>1</v>
      </c>
      <c r="D277" s="78">
        <f>+E276</f>
        <v>0</v>
      </c>
      <c r="E277" s="78">
        <f>+D277/C277</f>
        <v>0</v>
      </c>
      <c r="F277" s="53"/>
    </row>
    <row r="278" spans="1:7" ht="13.5" thickBot="1" x14ac:dyDescent="0.25">
      <c r="A278" s="79"/>
      <c r="B278" s="79"/>
      <c r="C278" s="79"/>
      <c r="D278" s="122" t="s">
        <v>192</v>
      </c>
      <c r="E278" s="48">
        <f>$B$51</f>
        <v>1</v>
      </c>
      <c r="F278" s="80">
        <f>(E275+E277)*E278</f>
        <v>0</v>
      </c>
    </row>
    <row r="279" spans="1:7" s="49" customFormat="1" ht="11.25" customHeight="1" thickBot="1" x14ac:dyDescent="0.25">
      <c r="A279" s="8"/>
      <c r="B279" s="8"/>
      <c r="C279" s="8"/>
      <c r="D279" s="9"/>
      <c r="E279" s="9"/>
      <c r="F279" s="9"/>
      <c r="G279" s="82"/>
    </row>
    <row r="280" spans="1:7" ht="13.5" thickBot="1" x14ac:dyDescent="0.25">
      <c r="A280" s="23" t="s">
        <v>215</v>
      </c>
      <c r="B280" s="24"/>
      <c r="C280" s="24"/>
      <c r="D280" s="25"/>
      <c r="E280" s="26"/>
      <c r="F280" s="20">
        <f>+F278</f>
        <v>0</v>
      </c>
    </row>
    <row r="281" spans="1:7" ht="11.25" customHeight="1" thickBot="1" x14ac:dyDescent="0.25"/>
    <row r="282" spans="1:7" ht="17.25" customHeight="1" thickBot="1" x14ac:dyDescent="0.25">
      <c r="A282" s="23" t="s">
        <v>220</v>
      </c>
      <c r="B282" s="27"/>
      <c r="C282" s="27"/>
      <c r="D282" s="28"/>
      <c r="E282" s="29"/>
      <c r="F282" s="21">
        <f>+F144+F178+F257+F269+F280</f>
        <v>51054.111593460562</v>
      </c>
    </row>
    <row r="283" spans="1:7" ht="11.25" customHeight="1" x14ac:dyDescent="0.2"/>
    <row r="284" spans="1:7" x14ac:dyDescent="0.2">
      <c r="A284" s="10" t="s">
        <v>89</v>
      </c>
    </row>
    <row r="285" spans="1:7" ht="11.25" customHeight="1" thickBot="1" x14ac:dyDescent="0.25"/>
    <row r="286" spans="1:7" ht="13.5" thickBot="1" x14ac:dyDescent="0.25">
      <c r="A286" s="58" t="s">
        <v>63</v>
      </c>
      <c r="B286" s="59" t="s">
        <v>64</v>
      </c>
      <c r="C286" s="59" t="s">
        <v>40</v>
      </c>
      <c r="D286" s="60" t="s">
        <v>230</v>
      </c>
      <c r="E286" s="60" t="s">
        <v>65</v>
      </c>
      <c r="F286" s="61" t="s">
        <v>66</v>
      </c>
    </row>
    <row r="287" spans="1:7" ht="13.5" thickBot="1" x14ac:dyDescent="0.25">
      <c r="A287" s="12" t="s">
        <v>36</v>
      </c>
      <c r="B287" s="13" t="s">
        <v>2</v>
      </c>
      <c r="C287" s="139">
        <f>'4.BDI'!C24*100</f>
        <v>24.9</v>
      </c>
      <c r="D287" s="14">
        <f>+F282</f>
        <v>51054.111593460562</v>
      </c>
      <c r="E287" s="14">
        <f>C287*D287/100</f>
        <v>12712.473786771679</v>
      </c>
    </row>
    <row r="288" spans="1:7" ht="13.5" thickBot="1" x14ac:dyDescent="0.25">
      <c r="F288" s="20">
        <f>+E287</f>
        <v>12712.473786771679</v>
      </c>
    </row>
    <row r="289" spans="1:6" ht="11.25" customHeight="1" thickBot="1" x14ac:dyDescent="0.25"/>
    <row r="290" spans="1:6" ht="13.5" thickBot="1" x14ac:dyDescent="0.25">
      <c r="A290" s="23" t="s">
        <v>235</v>
      </c>
      <c r="B290" s="27"/>
      <c r="C290" s="27"/>
      <c r="D290" s="28"/>
      <c r="E290" s="29"/>
      <c r="F290" s="21">
        <f>F288</f>
        <v>12712.473786771679</v>
      </c>
    </row>
    <row r="291" spans="1:6" x14ac:dyDescent="0.2">
      <c r="A291" s="33"/>
      <c r="B291" s="33"/>
      <c r="C291" s="33"/>
      <c r="D291" s="34"/>
      <c r="E291" s="34"/>
      <c r="F291" s="32"/>
    </row>
    <row r="292" spans="1:6" ht="11.25" customHeight="1" thickBot="1" x14ac:dyDescent="0.25"/>
    <row r="293" spans="1:6" ht="24.75" customHeight="1" thickBot="1" x14ac:dyDescent="0.25">
      <c r="A293" s="23" t="s">
        <v>221</v>
      </c>
      <c r="B293" s="27"/>
      <c r="C293" s="27"/>
      <c r="D293" s="28"/>
      <c r="E293" s="29"/>
      <c r="F293" s="21">
        <f>F282+F290</f>
        <v>63766.585380232238</v>
      </c>
    </row>
    <row r="294" spans="1:6" ht="12.6" customHeight="1" x14ac:dyDescent="0.2">
      <c r="A294" s="54"/>
      <c r="B294" s="54"/>
      <c r="C294" s="54"/>
      <c r="D294" s="55"/>
      <c r="E294" s="55"/>
      <c r="F294" s="55"/>
    </row>
    <row r="324" spans="4:7" ht="9" customHeight="1" x14ac:dyDescent="0.2">
      <c r="D324" s="8"/>
      <c r="E324" s="8"/>
      <c r="F324" s="8"/>
      <c r="G324" s="8"/>
    </row>
  </sheetData>
  <mergeCells count="7">
    <mergeCell ref="A47:D47"/>
    <mergeCell ref="A24:C24"/>
    <mergeCell ref="A11:F11"/>
    <mergeCell ref="A12:F12"/>
    <mergeCell ref="A40:D40"/>
    <mergeCell ref="A14:F14"/>
    <mergeCell ref="A39:E39"/>
  </mergeCells>
  <phoneticPr fontId="9" type="noConversion"/>
  <hyperlinks>
    <hyperlink ref="A200" location="AbaRemun" display="3.1.2. Remuneração do Capital"/>
    <hyperlink ref="A184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3" manualBreakCount="3">
    <brk id="52" max="5" man="1"/>
    <brk id="178" max="5" man="1"/>
    <brk id="246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22" zoomScaleNormal="100" workbookViewId="0">
      <selection activeCell="E20" sqref="E20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6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0" t="s">
        <v>200</v>
      </c>
    </row>
    <row r="2" spans="1:12" x14ac:dyDescent="0.2">
      <c r="A2" s="138" t="s">
        <v>241</v>
      </c>
    </row>
    <row r="3" spans="1:12" s="3" customFormat="1" ht="15.6" customHeight="1" x14ac:dyDescent="0.2">
      <c r="B3" s="137"/>
      <c r="C3" s="137"/>
      <c r="D3" s="137"/>
      <c r="E3" s="137"/>
      <c r="F3" s="137"/>
      <c r="G3" s="5"/>
    </row>
    <row r="4" spans="1:12" s="3" customFormat="1" ht="15.6" customHeight="1" x14ac:dyDescent="0.2">
      <c r="A4" s="307" t="s">
        <v>285</v>
      </c>
      <c r="B4" s="137"/>
      <c r="C4" s="137"/>
      <c r="D4" s="137"/>
      <c r="E4" s="137"/>
      <c r="F4" s="137"/>
      <c r="G4" s="5"/>
    </row>
    <row r="5" spans="1:12" s="3" customFormat="1" ht="16.5" customHeight="1" x14ac:dyDescent="0.2">
      <c r="A5" s="348" t="s">
        <v>282</v>
      </c>
      <c r="B5" s="348"/>
      <c r="C5" s="348"/>
      <c r="D5" s="5"/>
      <c r="E5" s="5"/>
      <c r="F5" s="5"/>
      <c r="G5" s="5"/>
    </row>
    <row r="6" spans="1:12" x14ac:dyDescent="0.2">
      <c r="A6" s="348"/>
      <c r="B6" s="348"/>
      <c r="C6" s="348"/>
    </row>
    <row r="7" spans="1:12" ht="15.75" thickBot="1" x14ac:dyDescent="0.25">
      <c r="A7" s="309"/>
      <c r="B7" s="308"/>
      <c r="C7" s="308"/>
    </row>
    <row r="8" spans="1:12" ht="18" x14ac:dyDescent="0.2">
      <c r="A8" s="345" t="s">
        <v>224</v>
      </c>
      <c r="B8" s="346"/>
      <c r="C8" s="347"/>
      <c r="D8" s="148"/>
      <c r="E8" s="148"/>
      <c r="F8" s="148"/>
    </row>
    <row r="9" spans="1:12" ht="14.25" x14ac:dyDescent="0.2">
      <c r="A9" s="167" t="s">
        <v>138</v>
      </c>
      <c r="B9" s="168" t="s">
        <v>139</v>
      </c>
      <c r="C9" s="169" t="s">
        <v>140</v>
      </c>
      <c r="D9" s="170"/>
    </row>
    <row r="10" spans="1:12" ht="14.25" x14ac:dyDescent="0.2">
      <c r="A10" s="167" t="s">
        <v>141</v>
      </c>
      <c r="B10" s="168" t="s">
        <v>41</v>
      </c>
      <c r="C10" s="171">
        <v>0.2</v>
      </c>
      <c r="D10" s="170"/>
      <c r="F10" s="156"/>
      <c r="G10" s="156"/>
      <c r="H10" s="156"/>
      <c r="I10" s="156"/>
      <c r="J10" s="156"/>
      <c r="K10" s="156"/>
      <c r="L10" s="156"/>
    </row>
    <row r="11" spans="1:12" ht="14.25" x14ac:dyDescent="0.2">
      <c r="A11" s="167" t="s">
        <v>142</v>
      </c>
      <c r="B11" s="168" t="s">
        <v>143</v>
      </c>
      <c r="C11" s="171">
        <v>1.4999999999999999E-2</v>
      </c>
      <c r="D11" s="170"/>
      <c r="F11" s="156"/>
      <c r="G11" s="156"/>
      <c r="H11" s="156"/>
      <c r="I11" s="156"/>
      <c r="J11" s="156"/>
      <c r="K11" s="156"/>
      <c r="L11" s="156"/>
    </row>
    <row r="12" spans="1:12" ht="14.25" x14ac:dyDescent="0.2">
      <c r="A12" s="167" t="s">
        <v>144</v>
      </c>
      <c r="B12" s="168" t="s">
        <v>145</v>
      </c>
      <c r="C12" s="171">
        <v>0.01</v>
      </c>
      <c r="D12" s="170"/>
      <c r="F12" s="156"/>
      <c r="G12" s="156"/>
      <c r="H12" s="156"/>
      <c r="I12" s="156"/>
      <c r="J12" s="156"/>
      <c r="K12" s="156"/>
      <c r="L12" s="156"/>
    </row>
    <row r="13" spans="1:12" ht="14.25" x14ac:dyDescent="0.2">
      <c r="A13" s="167" t="s">
        <v>146</v>
      </c>
      <c r="B13" s="168" t="s">
        <v>147</v>
      </c>
      <c r="C13" s="171">
        <v>2E-3</v>
      </c>
      <c r="D13" s="170"/>
      <c r="F13" s="156"/>
      <c r="G13" s="156"/>
      <c r="H13" s="156"/>
      <c r="I13" s="156"/>
      <c r="J13" s="156"/>
      <c r="K13" s="156"/>
      <c r="L13" s="156"/>
    </row>
    <row r="14" spans="1:12" ht="14.25" x14ac:dyDescent="0.2">
      <c r="A14" s="167" t="s">
        <v>148</v>
      </c>
      <c r="B14" s="168" t="s">
        <v>149</v>
      </c>
      <c r="C14" s="171">
        <v>6.0000000000000001E-3</v>
      </c>
      <c r="D14" s="170"/>
      <c r="F14" s="156"/>
      <c r="G14" s="156"/>
      <c r="H14" s="156"/>
      <c r="I14" s="156"/>
      <c r="J14" s="156"/>
      <c r="K14" s="156"/>
      <c r="L14" s="156"/>
    </row>
    <row r="15" spans="1:12" ht="14.25" x14ac:dyDescent="0.2">
      <c r="A15" s="167" t="s">
        <v>150</v>
      </c>
      <c r="B15" s="168" t="s">
        <v>151</v>
      </c>
      <c r="C15" s="171">
        <v>2.5000000000000001E-2</v>
      </c>
      <c r="D15" s="170"/>
      <c r="F15" s="156"/>
      <c r="G15" s="156"/>
      <c r="H15" s="156"/>
      <c r="I15" s="156"/>
      <c r="J15" s="156"/>
      <c r="K15" s="156"/>
      <c r="L15" s="156"/>
    </row>
    <row r="16" spans="1:12" ht="14.25" x14ac:dyDescent="0.2">
      <c r="A16" s="167" t="s">
        <v>152</v>
      </c>
      <c r="B16" s="168" t="s">
        <v>153</v>
      </c>
      <c r="C16" s="171">
        <v>0.03</v>
      </c>
      <c r="D16" s="170"/>
      <c r="F16" s="156"/>
      <c r="G16" s="156"/>
      <c r="H16" s="156"/>
      <c r="I16" s="156"/>
      <c r="J16" s="156"/>
      <c r="K16" s="156"/>
      <c r="L16" s="156"/>
    </row>
    <row r="17" spans="1:12" ht="14.25" x14ac:dyDescent="0.2">
      <c r="A17" s="167" t="s">
        <v>154</v>
      </c>
      <c r="B17" s="168" t="s">
        <v>42</v>
      </c>
      <c r="C17" s="171">
        <v>0.08</v>
      </c>
      <c r="D17" s="172"/>
      <c r="F17" s="156"/>
      <c r="G17" s="156"/>
      <c r="H17" s="156"/>
      <c r="I17" s="156"/>
      <c r="J17" s="156"/>
      <c r="K17" s="156"/>
      <c r="L17" s="156"/>
    </row>
    <row r="18" spans="1:12" ht="15" x14ac:dyDescent="0.2">
      <c r="A18" s="167" t="s">
        <v>155</v>
      </c>
      <c r="B18" s="173" t="s">
        <v>156</v>
      </c>
      <c r="C18" s="174">
        <f>SUM(C10:C17)</f>
        <v>0.36800000000000005</v>
      </c>
      <c r="D18" s="172"/>
      <c r="F18" s="156"/>
      <c r="G18" s="156"/>
      <c r="H18" s="156"/>
      <c r="I18" s="156"/>
      <c r="J18" s="156"/>
      <c r="K18" s="156"/>
      <c r="L18" s="156"/>
    </row>
    <row r="19" spans="1:12" ht="15" x14ac:dyDescent="0.2">
      <c r="A19" s="175"/>
      <c r="B19" s="176"/>
      <c r="C19" s="177"/>
      <c r="D19" s="172"/>
      <c r="F19" s="156"/>
      <c r="G19" s="156"/>
      <c r="H19" s="156"/>
      <c r="I19" s="156"/>
      <c r="J19" s="156"/>
      <c r="K19" s="156"/>
      <c r="L19" s="156"/>
    </row>
    <row r="20" spans="1:12" ht="14.25" x14ac:dyDescent="0.2">
      <c r="A20" s="167" t="s">
        <v>157</v>
      </c>
      <c r="B20" s="178" t="s">
        <v>158</v>
      </c>
      <c r="C20" s="171">
        <f>ROUND(IF('3.CAGED'!C28&gt;24,(1-12/'3.CAGED'!C28)*0.1111,0.1111-C29),4)</f>
        <v>6.1899999999999997E-2</v>
      </c>
      <c r="D20" s="172"/>
      <c r="F20" s="156"/>
      <c r="G20" s="156"/>
      <c r="H20" s="156"/>
      <c r="I20" s="156"/>
      <c r="J20" s="156"/>
      <c r="K20" s="156"/>
      <c r="L20" s="156"/>
    </row>
    <row r="21" spans="1:12" ht="14.25" x14ac:dyDescent="0.2">
      <c r="A21" s="167" t="s">
        <v>159</v>
      </c>
      <c r="B21" s="178" t="s">
        <v>160</v>
      </c>
      <c r="C21" s="171">
        <f>ROUND('3.CAGED'!C32/'3.CAGED'!C29,4)</f>
        <v>8.3299999999999999E-2</v>
      </c>
      <c r="D21" s="172"/>
      <c r="F21" s="156"/>
      <c r="G21" s="156"/>
      <c r="H21" s="156"/>
      <c r="I21" s="156"/>
      <c r="J21" s="156"/>
      <c r="K21" s="156"/>
      <c r="L21" s="156"/>
    </row>
    <row r="22" spans="1:12" ht="14.25" x14ac:dyDescent="0.2">
      <c r="A22" s="167" t="s">
        <v>214</v>
      </c>
      <c r="B22" s="178" t="s">
        <v>162</v>
      </c>
      <c r="C22" s="171">
        <v>5.9999999999999995E-4</v>
      </c>
      <c r="D22" s="172"/>
      <c r="F22" s="156"/>
      <c r="G22" s="156"/>
      <c r="H22" s="156"/>
      <c r="I22" s="156"/>
      <c r="J22" s="156"/>
      <c r="K22" s="156"/>
      <c r="L22" s="156"/>
    </row>
    <row r="23" spans="1:12" ht="14.25" x14ac:dyDescent="0.2">
      <c r="A23" s="167" t="s">
        <v>161</v>
      </c>
      <c r="B23" s="178" t="s">
        <v>164</v>
      </c>
      <c r="C23" s="171">
        <v>8.2000000000000007E-3</v>
      </c>
      <c r="D23" s="172"/>
      <c r="F23" s="156"/>
      <c r="G23" s="156"/>
      <c r="H23" s="156"/>
      <c r="I23" s="156"/>
      <c r="J23" s="156"/>
      <c r="K23" s="156"/>
      <c r="L23" s="156"/>
    </row>
    <row r="24" spans="1:12" ht="14.25" x14ac:dyDescent="0.2">
      <c r="A24" s="167" t="s">
        <v>163</v>
      </c>
      <c r="B24" s="178" t="s">
        <v>166</v>
      </c>
      <c r="C24" s="171">
        <v>3.0999999999999999E-3</v>
      </c>
      <c r="D24" s="172"/>
      <c r="F24" s="156"/>
      <c r="G24" s="156"/>
      <c r="H24" s="156"/>
      <c r="I24" s="156"/>
      <c r="J24" s="156"/>
      <c r="K24" s="156"/>
      <c r="L24" s="156"/>
    </row>
    <row r="25" spans="1:12" ht="14.25" x14ac:dyDescent="0.2">
      <c r="A25" s="167" t="s">
        <v>165</v>
      </c>
      <c r="B25" s="178" t="s">
        <v>167</v>
      </c>
      <c r="C25" s="171">
        <v>1.66E-2</v>
      </c>
      <c r="D25" s="172"/>
      <c r="F25" s="156"/>
      <c r="G25" s="156"/>
      <c r="H25" s="156"/>
      <c r="I25" s="156"/>
      <c r="J25" s="156"/>
      <c r="K25" s="156"/>
      <c r="L25" s="156"/>
    </row>
    <row r="26" spans="1:12" ht="15" x14ac:dyDescent="0.2">
      <c r="A26" s="167" t="s">
        <v>168</v>
      </c>
      <c r="B26" s="173" t="s">
        <v>169</v>
      </c>
      <c r="C26" s="174">
        <f>SUM(C20:C25)</f>
        <v>0.17369999999999999</v>
      </c>
      <c r="D26" s="179"/>
      <c r="F26" s="156"/>
      <c r="G26" s="156"/>
      <c r="H26" s="156"/>
      <c r="I26" s="156"/>
      <c r="J26" s="156"/>
      <c r="K26" s="156"/>
      <c r="L26" s="156"/>
    </row>
    <row r="27" spans="1:12" ht="15" x14ac:dyDescent="0.2">
      <c r="A27" s="175"/>
      <c r="B27" s="176"/>
      <c r="C27" s="177"/>
      <c r="D27" s="179"/>
      <c r="F27" s="156"/>
      <c r="G27" s="156"/>
      <c r="H27" s="156"/>
      <c r="I27" s="156"/>
      <c r="J27" s="156"/>
      <c r="K27" s="156"/>
      <c r="L27" s="156"/>
    </row>
    <row r="28" spans="1:12" ht="14.25" x14ac:dyDescent="0.2">
      <c r="A28" s="167" t="s">
        <v>170</v>
      </c>
      <c r="B28" s="168" t="s">
        <v>171</v>
      </c>
      <c r="C28" s="171">
        <f>ROUND(('3.CAGED'!C33) *'3.CAGED'!C26/'3.CAGED'!C29,4)</f>
        <v>2.5600000000000001E-2</v>
      </c>
      <c r="D28" s="172"/>
      <c r="E28" s="180"/>
      <c r="F28" s="156"/>
      <c r="G28" s="156"/>
      <c r="H28" s="156"/>
      <c r="I28" s="156"/>
      <c r="J28" s="156"/>
      <c r="K28" s="156"/>
      <c r="L28" s="156"/>
    </row>
    <row r="29" spans="1:12" ht="14.25" x14ac:dyDescent="0.2">
      <c r="A29" s="167" t="s">
        <v>213</v>
      </c>
      <c r="B29" s="168" t="s">
        <v>173</v>
      </c>
      <c r="C29" s="171">
        <f>ROUND(IF('3.CAGED'!C28&gt;12,12/'3.CAGED'!C28*0.1111,0.1111),4)</f>
        <v>4.9200000000000001E-2</v>
      </c>
      <c r="D29" s="172"/>
      <c r="F29" s="156"/>
      <c r="G29" s="156"/>
      <c r="H29" s="181"/>
      <c r="I29" s="156"/>
      <c r="J29" s="156"/>
      <c r="K29" s="156"/>
      <c r="L29" s="156"/>
    </row>
    <row r="30" spans="1:12" ht="14.25" x14ac:dyDescent="0.2">
      <c r="A30" s="167" t="s">
        <v>172</v>
      </c>
      <c r="B30" s="168" t="s">
        <v>175</v>
      </c>
      <c r="C30" s="171">
        <f>C28*C29</f>
        <v>1.2595200000000001E-3</v>
      </c>
      <c r="D30" s="172"/>
      <c r="E30" s="180"/>
      <c r="F30" s="156"/>
      <c r="G30" s="156"/>
      <c r="H30" s="156"/>
      <c r="I30" s="156"/>
      <c r="J30" s="156"/>
      <c r="K30" s="156"/>
      <c r="L30" s="156"/>
    </row>
    <row r="31" spans="1:12" ht="14.25" x14ac:dyDescent="0.2">
      <c r="A31" s="167" t="s">
        <v>174</v>
      </c>
      <c r="B31" s="168" t="s">
        <v>177</v>
      </c>
      <c r="C31" s="171">
        <f>ROUND(('3.CAGED'!C29+'3.CAGED'!C30+'3.CAGED'!C32)/'3.CAGED'!C27*'3.CAGED'!C34*'3.CAGED'!C35*'3.CAGED'!C26/'3.CAGED'!C29,4)</f>
        <v>2.0500000000000001E-2</v>
      </c>
      <c r="D31" s="172"/>
      <c r="F31" s="156"/>
      <c r="G31" s="182"/>
      <c r="H31" s="156"/>
      <c r="I31" s="156"/>
      <c r="J31" s="156"/>
      <c r="K31" s="156"/>
      <c r="L31" s="156"/>
    </row>
    <row r="32" spans="1:12" ht="14.25" x14ac:dyDescent="0.2">
      <c r="A32" s="167" t="s">
        <v>176</v>
      </c>
      <c r="B32" s="168" t="s">
        <v>178</v>
      </c>
      <c r="C32" s="171">
        <f>ROUND(('3.CAGED'!C31/'3.CAGED'!C29)*'3.CAGED'!C26/12,4)</f>
        <v>1.8E-3</v>
      </c>
      <c r="D32" s="172"/>
      <c r="F32" s="156"/>
      <c r="G32" s="156"/>
      <c r="H32" s="156"/>
      <c r="I32" s="156"/>
      <c r="J32" s="156"/>
      <c r="K32" s="156"/>
      <c r="L32" s="156"/>
    </row>
    <row r="33" spans="1:12" ht="15" x14ac:dyDescent="0.2">
      <c r="A33" s="167" t="s">
        <v>179</v>
      </c>
      <c r="B33" s="173" t="s">
        <v>180</v>
      </c>
      <c r="C33" s="174">
        <f>SUM(C28:C32)</f>
        <v>9.8359520000000006E-2</v>
      </c>
      <c r="D33" s="179"/>
      <c r="F33" s="156"/>
      <c r="G33" s="156"/>
      <c r="H33" s="156"/>
      <c r="I33" s="156"/>
      <c r="J33" s="156"/>
      <c r="K33" s="156"/>
      <c r="L33" s="156"/>
    </row>
    <row r="34" spans="1:12" ht="15" x14ac:dyDescent="0.2">
      <c r="A34" s="175"/>
      <c r="B34" s="176"/>
      <c r="C34" s="177"/>
      <c r="D34" s="179"/>
      <c r="F34" s="156"/>
      <c r="G34" s="156"/>
      <c r="H34" s="156"/>
      <c r="I34" s="156"/>
      <c r="J34" s="156"/>
      <c r="K34" s="156"/>
      <c r="L34" s="156"/>
    </row>
    <row r="35" spans="1:12" ht="14.25" x14ac:dyDescent="0.2">
      <c r="A35" s="167" t="s">
        <v>181</v>
      </c>
      <c r="B35" s="168" t="s">
        <v>182</v>
      </c>
      <c r="C35" s="171">
        <f>ROUND(C18*C26,4)</f>
        <v>6.3899999999999998E-2</v>
      </c>
      <c r="D35" s="172"/>
      <c r="F35" s="156"/>
      <c r="G35" s="156"/>
      <c r="H35" s="156"/>
      <c r="I35" s="156"/>
      <c r="J35" s="156"/>
      <c r="K35" s="156"/>
      <c r="L35" s="156"/>
    </row>
    <row r="36" spans="1:12" ht="28.5" x14ac:dyDescent="0.2">
      <c r="A36" s="167" t="s">
        <v>183</v>
      </c>
      <c r="B36" s="183" t="s">
        <v>281</v>
      </c>
      <c r="C36" s="171">
        <f>ROUND((C28*C17),4)</f>
        <v>2E-3</v>
      </c>
      <c r="D36" s="172"/>
      <c r="F36" s="156"/>
      <c r="G36" s="156"/>
      <c r="H36" s="156"/>
      <c r="I36" s="156"/>
      <c r="J36" s="156"/>
      <c r="K36" s="156"/>
      <c r="L36" s="156"/>
    </row>
    <row r="37" spans="1:12" ht="15" x14ac:dyDescent="0.2">
      <c r="A37" s="167" t="s">
        <v>184</v>
      </c>
      <c r="B37" s="173" t="s">
        <v>185</v>
      </c>
      <c r="C37" s="174">
        <f>SUM(C35:C36)</f>
        <v>6.59E-2</v>
      </c>
      <c r="D37" s="184"/>
      <c r="F37" s="156"/>
      <c r="G37" s="156"/>
      <c r="H37" s="156"/>
      <c r="I37" s="156"/>
      <c r="J37" s="156"/>
      <c r="K37" s="156"/>
      <c r="L37" s="156"/>
    </row>
    <row r="38" spans="1:12" ht="15.75" thickBot="1" x14ac:dyDescent="0.25">
      <c r="A38" s="185"/>
      <c r="B38" s="186" t="s">
        <v>186</v>
      </c>
      <c r="C38" s="187">
        <f>C37+C33+C26+C18</f>
        <v>0.70595951999999995</v>
      </c>
      <c r="D38" s="184"/>
      <c r="F38" s="156"/>
      <c r="G38" s="156"/>
      <c r="H38" s="156"/>
      <c r="I38" s="156"/>
      <c r="J38" s="156"/>
      <c r="K38" s="156"/>
      <c r="L38" s="156"/>
    </row>
    <row r="39" spans="1:12" ht="15" x14ac:dyDescent="0.2">
      <c r="A39" s="172"/>
      <c r="B39" s="188"/>
      <c r="C39" s="189"/>
      <c r="D39" s="190"/>
      <c r="F39" s="156"/>
      <c r="G39" s="156"/>
      <c r="H39" s="156"/>
      <c r="I39" s="156"/>
      <c r="J39" s="156"/>
      <c r="K39" s="156"/>
      <c r="L39" s="156"/>
    </row>
    <row r="40" spans="1:12" ht="14.25" x14ac:dyDescent="0.2">
      <c r="A40" s="172"/>
      <c r="B40" s="172"/>
      <c r="C40" s="191"/>
      <c r="D40" s="192"/>
      <c r="F40" s="156"/>
      <c r="G40" s="156"/>
      <c r="H40" s="156"/>
      <c r="I40" s="156"/>
      <c r="J40" s="156"/>
      <c r="K40" s="156"/>
      <c r="L40" s="156"/>
    </row>
    <row r="41" spans="1:12" ht="14.25" x14ac:dyDescent="0.2">
      <c r="A41" s="170"/>
      <c r="B41" s="170"/>
      <c r="C41" s="193"/>
      <c r="D41" s="170"/>
      <c r="F41" s="156"/>
      <c r="G41" s="156"/>
      <c r="H41" s="156"/>
      <c r="I41" s="156"/>
      <c r="J41" s="156"/>
      <c r="K41" s="156"/>
      <c r="L41" s="156"/>
    </row>
    <row r="42" spans="1:12" ht="14.25" x14ac:dyDescent="0.2">
      <c r="A42" s="170"/>
      <c r="B42" s="170"/>
      <c r="C42" s="193"/>
      <c r="D42" s="170"/>
      <c r="F42" s="156"/>
      <c r="G42" s="156"/>
      <c r="H42" s="156"/>
      <c r="I42" s="156"/>
      <c r="J42" s="156"/>
      <c r="K42" s="156"/>
      <c r="L42" s="156"/>
    </row>
    <row r="43" spans="1:12" ht="14.25" x14ac:dyDescent="0.2">
      <c r="A43" s="170"/>
      <c r="B43" s="170"/>
      <c r="C43" s="193"/>
      <c r="D43" s="170"/>
      <c r="F43" s="156"/>
      <c r="G43" s="156"/>
      <c r="H43" s="156"/>
      <c r="I43" s="156"/>
      <c r="J43" s="156"/>
      <c r="K43" s="156"/>
      <c r="L43" s="156"/>
    </row>
    <row r="44" spans="1:12" ht="15" x14ac:dyDescent="0.2">
      <c r="A44" s="170"/>
      <c r="B44" s="194"/>
      <c r="C44" s="195"/>
      <c r="D44" s="170"/>
      <c r="F44" s="156"/>
      <c r="G44" s="156"/>
      <c r="H44" s="156"/>
      <c r="I44" s="156"/>
      <c r="J44" s="156"/>
      <c r="K44" s="156"/>
      <c r="L44" s="156"/>
    </row>
    <row r="45" spans="1:12" ht="15" x14ac:dyDescent="0.2">
      <c r="A45" s="184"/>
      <c r="B45" s="194"/>
      <c r="C45" s="195"/>
      <c r="D45" s="184"/>
      <c r="E45" s="156"/>
      <c r="F45" s="156"/>
      <c r="G45" s="156"/>
      <c r="H45" s="156"/>
      <c r="I45" s="156"/>
      <c r="J45" s="156"/>
      <c r="K45" s="156"/>
      <c r="L45" s="156"/>
    </row>
    <row r="46" spans="1:12" ht="16.5" x14ac:dyDescent="0.2">
      <c r="A46" s="196"/>
      <c r="B46" s="156"/>
      <c r="C46" s="156"/>
      <c r="E46" s="156"/>
      <c r="F46" s="156"/>
      <c r="G46" s="156"/>
      <c r="H46" s="156"/>
      <c r="I46" s="156"/>
      <c r="J46" s="156"/>
      <c r="K46" s="156"/>
      <c r="L46" s="156"/>
    </row>
    <row r="47" spans="1:12" x14ac:dyDescent="0.2">
      <c r="A47" s="197"/>
      <c r="B47" s="198"/>
      <c r="C47" s="198"/>
      <c r="E47" s="156"/>
      <c r="F47" s="156"/>
      <c r="G47" s="156"/>
      <c r="H47" s="156"/>
      <c r="I47" s="156"/>
      <c r="J47" s="156"/>
      <c r="K47" s="156"/>
      <c r="L47" s="156"/>
    </row>
    <row r="48" spans="1:12" ht="14.25" x14ac:dyDescent="0.2">
      <c r="A48" s="170"/>
      <c r="B48" s="199"/>
      <c r="C48" s="198"/>
      <c r="E48" s="156"/>
      <c r="F48" s="156"/>
      <c r="G48" s="156"/>
      <c r="H48" s="156"/>
      <c r="I48" s="156"/>
      <c r="J48" s="156"/>
      <c r="K48" s="156"/>
      <c r="L48" s="156"/>
    </row>
    <row r="49" spans="1:12" ht="14.25" x14ac:dyDescent="0.2">
      <c r="A49" s="170"/>
      <c r="B49" s="199"/>
      <c r="C49" s="170"/>
      <c r="E49" s="156"/>
      <c r="F49" s="156"/>
      <c r="G49" s="156"/>
      <c r="H49" s="156"/>
      <c r="I49" s="156"/>
      <c r="J49" s="156"/>
      <c r="K49" s="156"/>
      <c r="L49" s="156"/>
    </row>
    <row r="50" spans="1:12" ht="14.25" x14ac:dyDescent="0.2">
      <c r="A50" s="170"/>
      <c r="B50" s="193"/>
      <c r="C50" s="198"/>
      <c r="E50" s="156"/>
      <c r="F50" s="156"/>
      <c r="G50" s="156"/>
      <c r="H50" s="156"/>
      <c r="I50" s="156"/>
      <c r="J50" s="156"/>
      <c r="K50" s="156"/>
      <c r="L50" s="156"/>
    </row>
    <row r="51" spans="1:12" ht="14.25" x14ac:dyDescent="0.2">
      <c r="A51" s="170"/>
      <c r="B51" s="199"/>
      <c r="C51" s="170"/>
      <c r="E51" s="156"/>
      <c r="F51" s="156"/>
      <c r="G51" s="156"/>
      <c r="H51" s="156"/>
      <c r="I51" s="156"/>
      <c r="J51" s="156"/>
      <c r="K51" s="156"/>
      <c r="L51" s="156"/>
    </row>
    <row r="52" spans="1:12" ht="14.25" x14ac:dyDescent="0.2">
      <c r="A52" s="170"/>
      <c r="B52" s="193"/>
      <c r="C52" s="198"/>
      <c r="E52" s="156"/>
      <c r="F52" s="156"/>
      <c r="G52" s="156"/>
      <c r="H52" s="156"/>
      <c r="I52" s="156"/>
      <c r="J52" s="156"/>
      <c r="K52" s="156"/>
      <c r="L52" s="156"/>
    </row>
    <row r="53" spans="1:12" ht="14.25" x14ac:dyDescent="0.2">
      <c r="A53" s="170"/>
      <c r="B53" s="199"/>
      <c r="C53" s="170"/>
      <c r="E53" s="156"/>
      <c r="F53" s="156"/>
      <c r="G53" s="156"/>
      <c r="H53" s="156"/>
      <c r="I53" s="156"/>
      <c r="J53" s="156"/>
      <c r="K53" s="156"/>
      <c r="L53" s="156"/>
    </row>
    <row r="54" spans="1:12" ht="14.25" x14ac:dyDescent="0.2">
      <c r="A54" s="170"/>
      <c r="B54" s="193"/>
      <c r="C54" s="198"/>
      <c r="E54" s="156"/>
      <c r="F54" s="156"/>
      <c r="G54" s="156"/>
      <c r="H54" s="156"/>
      <c r="I54" s="156"/>
      <c r="J54" s="156"/>
      <c r="K54" s="156"/>
      <c r="L54" s="156"/>
    </row>
    <row r="55" spans="1:12" ht="14.25" x14ac:dyDescent="0.2">
      <c r="A55" s="170"/>
      <c r="B55" s="199"/>
      <c r="C55" s="170"/>
      <c r="E55" s="156"/>
      <c r="F55" s="156"/>
      <c r="G55" s="156"/>
      <c r="H55" s="156"/>
      <c r="I55" s="156"/>
      <c r="J55" s="156"/>
      <c r="K55" s="156"/>
      <c r="L55" s="156"/>
    </row>
    <row r="56" spans="1:12" ht="14.25" x14ac:dyDescent="0.2">
      <c r="A56" s="170"/>
      <c r="B56" s="193"/>
      <c r="C56" s="198"/>
      <c r="E56" s="156"/>
      <c r="F56" s="156"/>
      <c r="G56" s="156"/>
      <c r="H56" s="156"/>
      <c r="I56" s="156"/>
      <c r="J56" s="156"/>
      <c r="K56" s="156"/>
      <c r="L56" s="156"/>
    </row>
    <row r="57" spans="1:12" ht="16.5" x14ac:dyDescent="0.2">
      <c r="A57" s="196"/>
      <c r="B57" s="156"/>
      <c r="C57" s="156"/>
      <c r="E57" s="156"/>
      <c r="F57" s="156"/>
      <c r="G57" s="156"/>
      <c r="H57" s="156"/>
      <c r="I57" s="156"/>
      <c r="J57" s="156"/>
      <c r="K57" s="156"/>
      <c r="L57" s="156"/>
    </row>
    <row r="58" spans="1:12" x14ac:dyDescent="0.2">
      <c r="A58" s="156"/>
      <c r="B58" s="156"/>
      <c r="C58" s="156"/>
      <c r="E58" s="156"/>
      <c r="F58" s="156"/>
      <c r="G58" s="156"/>
      <c r="H58" s="156"/>
      <c r="I58" s="156"/>
      <c r="J58" s="156"/>
      <c r="K58" s="156"/>
      <c r="L58" s="156"/>
    </row>
    <row r="59" spans="1:12" x14ac:dyDescent="0.2">
      <c r="A59" s="156"/>
      <c r="B59" s="156"/>
      <c r="C59" s="156"/>
      <c r="E59" s="156"/>
      <c r="F59" s="156"/>
      <c r="G59" s="156"/>
      <c r="H59" s="156"/>
      <c r="I59" s="156"/>
      <c r="J59" s="156"/>
      <c r="K59" s="156"/>
      <c r="L59" s="156"/>
    </row>
    <row r="60" spans="1:12" x14ac:dyDescent="0.2">
      <c r="A60" s="200"/>
      <c r="B60" s="156"/>
      <c r="C60" s="156"/>
      <c r="E60" s="156"/>
      <c r="F60" s="156"/>
      <c r="G60" s="156"/>
      <c r="H60" s="156"/>
      <c r="I60" s="156"/>
      <c r="J60" s="156"/>
      <c r="K60" s="156"/>
      <c r="L60" s="156"/>
    </row>
    <row r="61" spans="1:12" x14ac:dyDescent="0.2">
      <c r="A61" s="156"/>
      <c r="B61" s="156"/>
      <c r="C61" s="156"/>
      <c r="E61" s="156"/>
    </row>
    <row r="62" spans="1:12" x14ac:dyDescent="0.2">
      <c r="A62" s="156"/>
      <c r="B62" s="156"/>
      <c r="C62" s="156"/>
      <c r="E62" s="156"/>
    </row>
    <row r="63" spans="1:12" x14ac:dyDescent="0.2">
      <c r="A63" s="156"/>
      <c r="B63" s="156"/>
      <c r="C63" s="156"/>
      <c r="E63" s="156"/>
    </row>
    <row r="64" spans="1:12" x14ac:dyDescent="0.2">
      <c r="A64" s="156"/>
      <c r="B64" s="156"/>
      <c r="C64" s="156"/>
      <c r="E64" s="156"/>
    </row>
    <row r="65" spans="1:5" x14ac:dyDescent="0.2">
      <c r="A65" s="156"/>
      <c r="B65" s="156"/>
      <c r="C65" s="156"/>
      <c r="E65" s="156"/>
    </row>
    <row r="66" spans="1:5" x14ac:dyDescent="0.2">
      <c r="A66" s="156"/>
      <c r="B66" s="156"/>
      <c r="C66" s="156"/>
      <c r="E66" s="156"/>
    </row>
    <row r="67" spans="1:5" x14ac:dyDescent="0.2">
      <c r="A67" s="156"/>
      <c r="B67" s="156"/>
      <c r="C67" s="156"/>
      <c r="E67" s="156"/>
    </row>
    <row r="68" spans="1:5" x14ac:dyDescent="0.2">
      <c r="A68" s="156"/>
      <c r="B68" s="156"/>
      <c r="C68" s="156"/>
      <c r="E68" s="156"/>
    </row>
    <row r="69" spans="1:5" x14ac:dyDescent="0.2">
      <c r="A69" s="156"/>
      <c r="B69" s="156"/>
      <c r="C69" s="156"/>
      <c r="E69" s="156"/>
    </row>
  </sheetData>
  <mergeCells count="2">
    <mergeCell ref="A8:C8"/>
    <mergeCell ref="A5:C6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5" zoomScaleNormal="100" workbookViewId="0">
      <selection activeCell="B5" sqref="B5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6" t="s">
        <v>236</v>
      </c>
    </row>
    <row r="3" spans="1:3" x14ac:dyDescent="0.2">
      <c r="A3" s="310" t="s">
        <v>293</v>
      </c>
    </row>
    <row r="5" spans="1:3" x14ac:dyDescent="0.2">
      <c r="A5" s="296" t="s">
        <v>292</v>
      </c>
    </row>
    <row r="6" spans="1:3" ht="13.5" thickBot="1" x14ac:dyDescent="0.25"/>
    <row r="7" spans="1:3" ht="18" x14ac:dyDescent="0.25">
      <c r="B7" s="349" t="s">
        <v>222</v>
      </c>
      <c r="C7" s="350"/>
    </row>
    <row r="8" spans="1:3" ht="15" x14ac:dyDescent="0.25">
      <c r="A8" s="156"/>
      <c r="B8" s="155" t="s">
        <v>202</v>
      </c>
      <c r="C8" s="201"/>
    </row>
    <row r="9" spans="1:3" ht="15" x14ac:dyDescent="0.25">
      <c r="A9" s="156"/>
      <c r="B9" s="157" t="s">
        <v>122</v>
      </c>
      <c r="C9" s="158">
        <v>2100</v>
      </c>
    </row>
    <row r="10" spans="1:3" ht="15" x14ac:dyDescent="0.25">
      <c r="A10" s="156"/>
      <c r="B10" s="159" t="s">
        <v>123</v>
      </c>
      <c r="C10" s="158">
        <v>2031</v>
      </c>
    </row>
    <row r="11" spans="1:3" ht="14.25" x14ac:dyDescent="0.2">
      <c r="A11" s="156"/>
      <c r="B11" s="202" t="s">
        <v>124</v>
      </c>
      <c r="C11" s="203">
        <v>44</v>
      </c>
    </row>
    <row r="12" spans="1:3" ht="14.25" x14ac:dyDescent="0.2">
      <c r="A12" s="156"/>
      <c r="B12" s="202" t="s">
        <v>125</v>
      </c>
      <c r="C12" s="203">
        <v>1192</v>
      </c>
    </row>
    <row r="13" spans="1:3" ht="14.25" x14ac:dyDescent="0.2">
      <c r="A13" s="156"/>
      <c r="B13" s="202" t="s">
        <v>126</v>
      </c>
      <c r="C13" s="203">
        <v>372</v>
      </c>
    </row>
    <row r="14" spans="1:3" ht="14.25" x14ac:dyDescent="0.2">
      <c r="A14" s="156"/>
      <c r="B14" s="202" t="s">
        <v>127</v>
      </c>
      <c r="C14" s="203">
        <v>22</v>
      </c>
    </row>
    <row r="15" spans="1:3" ht="14.25" x14ac:dyDescent="0.2">
      <c r="A15" s="156"/>
      <c r="B15" s="202" t="s">
        <v>128</v>
      </c>
      <c r="C15" s="203">
        <v>350</v>
      </c>
    </row>
    <row r="16" spans="1:3" ht="14.25" x14ac:dyDescent="0.2">
      <c r="A16" s="156"/>
      <c r="B16" s="202" t="s">
        <v>129</v>
      </c>
      <c r="C16" s="203">
        <v>1</v>
      </c>
    </row>
    <row r="17" spans="1:5" ht="14.25" x14ac:dyDescent="0.2">
      <c r="A17" s="156"/>
      <c r="B17" s="202" t="s">
        <v>130</v>
      </c>
      <c r="C17" s="203">
        <v>30</v>
      </c>
    </row>
    <row r="18" spans="1:5" ht="14.25" x14ac:dyDescent="0.2">
      <c r="A18" s="156"/>
      <c r="B18" s="204" t="s">
        <v>131</v>
      </c>
      <c r="C18" s="205">
        <v>0</v>
      </c>
    </row>
    <row r="19" spans="1:5" ht="14.25" x14ac:dyDescent="0.2">
      <c r="A19" s="156"/>
      <c r="B19" s="302" t="s">
        <v>288</v>
      </c>
      <c r="C19" s="205">
        <v>0</v>
      </c>
    </row>
    <row r="20" spans="1:5" ht="15" x14ac:dyDescent="0.25">
      <c r="A20" s="156" t="s">
        <v>132</v>
      </c>
      <c r="B20" s="155" t="s">
        <v>133</v>
      </c>
      <c r="C20" s="201"/>
    </row>
    <row r="21" spans="1:5" ht="14.25" x14ac:dyDescent="0.2">
      <c r="A21" s="156"/>
      <c r="B21" s="206" t="s">
        <v>290</v>
      </c>
      <c r="C21" s="207">
        <v>4625</v>
      </c>
    </row>
    <row r="22" spans="1:5" ht="14.25" x14ac:dyDescent="0.2">
      <c r="A22" s="156"/>
      <c r="B22" s="202" t="s">
        <v>291</v>
      </c>
      <c r="C22" s="203">
        <v>4694</v>
      </c>
    </row>
    <row r="23" spans="1:5" ht="14.25" x14ac:dyDescent="0.2">
      <c r="B23" s="202" t="s">
        <v>289</v>
      </c>
      <c r="C23" s="295">
        <f>C9-C10</f>
        <v>69</v>
      </c>
    </row>
    <row r="24" spans="1:5" ht="14.25" x14ac:dyDescent="0.2">
      <c r="B24" s="208"/>
      <c r="C24" s="209"/>
    </row>
    <row r="25" spans="1:5" s="106" customFormat="1" ht="15" x14ac:dyDescent="0.25">
      <c r="B25" s="157" t="s">
        <v>135</v>
      </c>
      <c r="C25" s="210">
        <f>MEDIAN(C21,C22)</f>
        <v>4659.5</v>
      </c>
    </row>
    <row r="26" spans="1:5" ht="15" x14ac:dyDescent="0.25">
      <c r="B26" s="159" t="s">
        <v>286</v>
      </c>
      <c r="C26" s="300">
        <f>C12/C25</f>
        <v>0.25582144006867691</v>
      </c>
    </row>
    <row r="27" spans="1:5" ht="15" x14ac:dyDescent="0.25">
      <c r="B27" s="159" t="s">
        <v>287</v>
      </c>
      <c r="C27" s="300">
        <f>MEDIAN(C9,C10)/C25</f>
        <v>0.44328790642772831</v>
      </c>
      <c r="E27" s="270"/>
    </row>
    <row r="28" spans="1:5" s="106" customFormat="1" ht="15" x14ac:dyDescent="0.25">
      <c r="B28" s="159" t="s">
        <v>242</v>
      </c>
      <c r="C28" s="298">
        <f>12/C27</f>
        <v>27.070442992011618</v>
      </c>
    </row>
    <row r="29" spans="1:5" ht="15" x14ac:dyDescent="0.25">
      <c r="B29" s="159" t="s">
        <v>134</v>
      </c>
      <c r="C29" s="161">
        <v>360</v>
      </c>
    </row>
    <row r="30" spans="1:5" ht="15" x14ac:dyDescent="0.25">
      <c r="B30" s="159" t="s">
        <v>237</v>
      </c>
      <c r="C30" s="161">
        <v>10</v>
      </c>
    </row>
    <row r="31" spans="1:5" ht="15" x14ac:dyDescent="0.25">
      <c r="B31" s="157" t="s">
        <v>238</v>
      </c>
      <c r="C31" s="160">
        <v>30</v>
      </c>
    </row>
    <row r="32" spans="1:5" ht="15" x14ac:dyDescent="0.25">
      <c r="B32" s="157" t="s">
        <v>239</v>
      </c>
      <c r="C32" s="160">
        <v>30</v>
      </c>
    </row>
    <row r="33" spans="2:4" s="106" customFormat="1" ht="15" x14ac:dyDescent="0.25">
      <c r="B33" s="157" t="s">
        <v>137</v>
      </c>
      <c r="C33" s="160">
        <f>30+(3*TRUNC(1/C27))</f>
        <v>36</v>
      </c>
    </row>
    <row r="34" spans="2:4" s="106" customFormat="1" ht="15" x14ac:dyDescent="0.25">
      <c r="B34" s="159" t="s">
        <v>42</v>
      </c>
      <c r="C34" s="299">
        <v>0.08</v>
      </c>
    </row>
    <row r="35" spans="2:4" s="106" customFormat="1" ht="15.75" thickBot="1" x14ac:dyDescent="0.3">
      <c r="B35" s="162" t="s">
        <v>136</v>
      </c>
      <c r="C35" s="301">
        <v>0.4</v>
      </c>
      <c r="D35" s="106" t="s">
        <v>294</v>
      </c>
    </row>
  </sheetData>
  <mergeCells count="1">
    <mergeCell ref="B7:C7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tabSelected="1" topLeftCell="A11" zoomScaleNormal="100" workbookViewId="0">
      <selection activeCell="C20" sqref="C20"/>
    </sheetView>
  </sheetViews>
  <sheetFormatPr defaultRowHeight="12.75" x14ac:dyDescent="0.2"/>
  <cols>
    <col min="1" max="1" width="50.7109375" customWidth="1"/>
    <col min="2" max="2" width="5.5703125" bestFit="1" customWidth="1"/>
    <col min="4" max="4" width="9.7109375" bestFit="1" customWidth="1"/>
    <col min="5" max="5" width="10.7109375" style="121" customWidth="1"/>
    <col min="6" max="6" width="9.7109375" bestFit="1" customWidth="1"/>
  </cols>
  <sheetData>
    <row r="1" spans="1:14" s="145" customFormat="1" ht="14.25" x14ac:dyDescent="0.2">
      <c r="A1" s="10" t="s">
        <v>200</v>
      </c>
      <c r="B1" s="143"/>
      <c r="C1" s="143"/>
      <c r="E1" s="146"/>
    </row>
    <row r="2" spans="1:14" s="145" customFormat="1" ht="14.25" x14ac:dyDescent="0.2">
      <c r="A2" s="138" t="s">
        <v>243</v>
      </c>
      <c r="B2" s="143"/>
      <c r="C2" s="143"/>
      <c r="E2" s="146"/>
    </row>
    <row r="3" spans="1:14" s="145" customFormat="1" ht="14.25" x14ac:dyDescent="0.2">
      <c r="A3" s="8" t="s">
        <v>201</v>
      </c>
      <c r="B3" s="143"/>
      <c r="C3" s="143"/>
      <c r="E3" s="146"/>
    </row>
    <row r="4" spans="1:14" s="145" customFormat="1" ht="14.25" x14ac:dyDescent="0.2">
      <c r="A4" s="8"/>
      <c r="B4" s="143"/>
      <c r="C4" s="143"/>
      <c r="E4" s="146"/>
    </row>
    <row r="5" spans="1:14" s="3" customFormat="1" ht="15.6" customHeight="1" x14ac:dyDescent="0.2">
      <c r="A5" s="294" t="s">
        <v>285</v>
      </c>
      <c r="B5" s="137"/>
      <c r="C5" s="137"/>
      <c r="D5" s="137"/>
      <c r="E5" s="137"/>
      <c r="F5" s="137"/>
      <c r="G5" s="5"/>
      <c r="I5" s="145"/>
      <c r="J5" s="145"/>
      <c r="K5" s="145"/>
      <c r="L5" s="145"/>
      <c r="M5" s="145"/>
      <c r="N5" s="145"/>
    </row>
    <row r="6" spans="1:14" s="3" customFormat="1" ht="16.5" customHeight="1" x14ac:dyDescent="0.2">
      <c r="A6" s="359" t="s">
        <v>282</v>
      </c>
      <c r="B6" s="359"/>
      <c r="C6" s="359"/>
      <c r="D6" s="359"/>
      <c r="E6" s="359"/>
      <c r="F6" s="359"/>
      <c r="G6" s="5"/>
    </row>
    <row r="7" spans="1:14" s="3" customFormat="1" ht="16.5" customHeight="1" x14ac:dyDescent="0.2">
      <c r="A7" s="359"/>
      <c r="B7" s="359"/>
      <c r="C7" s="359"/>
      <c r="D7" s="359"/>
      <c r="E7" s="359"/>
      <c r="F7" s="359"/>
      <c r="G7" s="5"/>
    </row>
    <row r="8" spans="1:14" s="3" customFormat="1" ht="16.5" hidden="1" customHeight="1" x14ac:dyDescent="0.2">
      <c r="A8" s="294"/>
      <c r="B8" s="4"/>
      <c r="C8" s="4"/>
      <c r="D8" s="5"/>
      <c r="E8" s="5"/>
      <c r="F8" s="5"/>
      <c r="G8" s="5"/>
    </row>
    <row r="9" spans="1:14" s="3" customFormat="1" ht="16.5" hidden="1" customHeight="1" x14ac:dyDescent="0.2">
      <c r="A9" s="318" t="s">
        <v>315</v>
      </c>
      <c r="B9" s="319"/>
      <c r="C9" s="319"/>
      <c r="D9" s="319"/>
      <c r="E9" s="320"/>
      <c r="F9" s="321">
        <v>1</v>
      </c>
      <c r="G9" s="5"/>
    </row>
    <row r="10" spans="1:14" s="3" customFormat="1" ht="16.5" hidden="1" customHeight="1" thickBot="1" x14ac:dyDescent="0.25">
      <c r="A10" s="322" t="s">
        <v>316</v>
      </c>
      <c r="B10" s="323"/>
      <c r="C10" s="323"/>
      <c r="D10" s="323"/>
      <c r="E10" s="324"/>
      <c r="F10" s="325">
        <v>0.03</v>
      </c>
      <c r="G10" s="5"/>
    </row>
    <row r="11" spans="1:14" s="3" customFormat="1" ht="16.5" customHeight="1" thickBot="1" x14ac:dyDescent="0.25">
      <c r="A11" s="294"/>
      <c r="B11" s="4"/>
      <c r="C11" s="4"/>
      <c r="D11" s="5"/>
      <c r="E11" s="5"/>
      <c r="F11" s="5"/>
      <c r="G11" s="5"/>
    </row>
    <row r="12" spans="1:14" ht="15.75" x14ac:dyDescent="0.2">
      <c r="A12" s="356" t="s">
        <v>223</v>
      </c>
      <c r="B12" s="357"/>
      <c r="C12" s="357"/>
      <c r="D12" s="357"/>
      <c r="E12" s="357"/>
      <c r="F12" s="358"/>
    </row>
    <row r="13" spans="1:14" ht="16.5" thickBot="1" x14ac:dyDescent="0.25">
      <c r="A13" s="255"/>
      <c r="B13" s="256"/>
      <c r="C13" s="256"/>
      <c r="D13" s="256"/>
      <c r="E13" s="256"/>
      <c r="F13" s="257"/>
    </row>
    <row r="14" spans="1:14" ht="15" x14ac:dyDescent="0.25">
      <c r="A14" s="211"/>
      <c r="B14" s="144"/>
      <c r="C14" s="144"/>
      <c r="D14" s="353" t="s">
        <v>240</v>
      </c>
      <c r="E14" s="354"/>
      <c r="F14" s="355"/>
      <c r="G14" s="145"/>
      <c r="H14" s="145"/>
    </row>
    <row r="15" spans="1:14" ht="15" thickBot="1" x14ac:dyDescent="0.25">
      <c r="A15" s="208"/>
      <c r="B15" s="212"/>
      <c r="C15" s="212"/>
      <c r="D15" s="213" t="s">
        <v>187</v>
      </c>
      <c r="E15" s="214" t="s">
        <v>188</v>
      </c>
      <c r="F15" s="215" t="s">
        <v>189</v>
      </c>
      <c r="G15" s="145"/>
      <c r="H15" s="145"/>
    </row>
    <row r="16" spans="1:14" ht="14.25" x14ac:dyDescent="0.2">
      <c r="A16" s="216" t="s">
        <v>76</v>
      </c>
      <c r="B16" s="217" t="s">
        <v>77</v>
      </c>
      <c r="C16" s="218">
        <v>6.2700000000000006E-2</v>
      </c>
      <c r="D16" s="238">
        <v>2.9700000000000001E-2</v>
      </c>
      <c r="E16" s="239">
        <v>5.0799999999999998E-2</v>
      </c>
      <c r="F16" s="240">
        <v>6.2700000000000006E-2</v>
      </c>
      <c r="G16" s="145"/>
      <c r="H16" s="145"/>
    </row>
    <row r="17" spans="1:8" ht="14.25" x14ac:dyDescent="0.2">
      <c r="A17" s="220" t="s">
        <v>78</v>
      </c>
      <c r="B17" s="221" t="s">
        <v>79</v>
      </c>
      <c r="C17" s="222">
        <v>1.7100000000000001E-2</v>
      </c>
      <c r="D17" s="238">
        <f>0.3%+0.56%</f>
        <v>8.6E-3</v>
      </c>
      <c r="E17" s="239">
        <f>0.48%+0.85%</f>
        <v>1.3299999999999999E-2</v>
      </c>
      <c r="F17" s="240">
        <f>0.82%+0.89%</f>
        <v>1.7099999999999997E-2</v>
      </c>
      <c r="G17" s="145"/>
      <c r="H17" s="145"/>
    </row>
    <row r="18" spans="1:8" ht="14.25" x14ac:dyDescent="0.2">
      <c r="A18" s="220" t="s">
        <v>80</v>
      </c>
      <c r="B18" s="221" t="s">
        <v>81</v>
      </c>
      <c r="C18" s="222">
        <v>0.1046</v>
      </c>
      <c r="D18" s="238">
        <v>7.7799999999999994E-2</v>
      </c>
      <c r="E18" s="239">
        <v>0.1085</v>
      </c>
      <c r="F18" s="240">
        <v>0.13550000000000001</v>
      </c>
      <c r="G18" s="145"/>
      <c r="H18" s="145"/>
    </row>
    <row r="19" spans="1:8" ht="14.25" x14ac:dyDescent="0.2">
      <c r="A19" s="220" t="s">
        <v>82</v>
      </c>
      <c r="B19" s="221" t="s">
        <v>83</v>
      </c>
      <c r="C19" s="223">
        <f>(1+E19)^(E20/252)-1</f>
        <v>8.9257349849305445E-3</v>
      </c>
      <c r="D19" s="238" t="s">
        <v>277</v>
      </c>
      <c r="E19" s="224">
        <v>7.7499999999999999E-2</v>
      </c>
      <c r="F19" s="219"/>
      <c r="G19" s="145"/>
      <c r="H19" s="145"/>
    </row>
    <row r="20" spans="1:8" ht="43.5" customHeight="1" x14ac:dyDescent="0.2">
      <c r="A20" s="326" t="s">
        <v>318</v>
      </c>
      <c r="B20" s="351" t="s">
        <v>84</v>
      </c>
      <c r="C20" s="222"/>
      <c r="D20" s="327" t="s">
        <v>190</v>
      </c>
      <c r="E20" s="328">
        <v>30</v>
      </c>
      <c r="F20" s="225"/>
      <c r="G20" s="145"/>
      <c r="H20" s="145"/>
    </row>
    <row r="21" spans="1:8" ht="15" thickBot="1" x14ac:dyDescent="0.25">
      <c r="A21" s="226" t="s">
        <v>85</v>
      </c>
      <c r="B21" s="352"/>
      <c r="C21" s="227">
        <v>3.6499999999999998E-2</v>
      </c>
      <c r="D21" s="202"/>
      <c r="E21" s="228"/>
      <c r="F21" s="225"/>
      <c r="G21" s="145"/>
      <c r="H21" s="145"/>
    </row>
    <row r="22" spans="1:8" ht="14.25" x14ac:dyDescent="0.2">
      <c r="A22" s="229" t="s">
        <v>86</v>
      </c>
      <c r="B22" s="230"/>
      <c r="C22" s="231"/>
      <c r="D22" s="202"/>
      <c r="E22" s="228"/>
      <c r="F22" s="225"/>
      <c r="G22" s="145"/>
      <c r="H22" s="145"/>
    </row>
    <row r="23" spans="1:8" ht="15" thickBot="1" x14ac:dyDescent="0.25">
      <c r="A23" s="232" t="s">
        <v>87</v>
      </c>
      <c r="B23" s="233"/>
      <c r="C23" s="234"/>
      <c r="D23" s="202"/>
      <c r="E23" s="228"/>
      <c r="F23" s="225"/>
      <c r="G23" s="145"/>
      <c r="H23" s="145"/>
    </row>
    <row r="24" spans="1:8" ht="15.75" thickBot="1" x14ac:dyDescent="0.25">
      <c r="A24" s="235" t="s">
        <v>88</v>
      </c>
      <c r="B24" s="236"/>
      <c r="C24" s="237">
        <f>ROUND((((1+C16+C17)*(1+C18)*(1+C19))/(1-(C20+C21))-1),4)</f>
        <v>0.249</v>
      </c>
      <c r="D24" s="241">
        <v>0.21429999999999999</v>
      </c>
      <c r="E24" s="242">
        <v>0.2717</v>
      </c>
      <c r="F24" s="243">
        <v>0.3362</v>
      </c>
      <c r="G24" s="145"/>
      <c r="H24" s="145"/>
    </row>
    <row r="25" spans="1:8" ht="14.25" x14ac:dyDescent="0.2">
      <c r="A25" s="145"/>
      <c r="B25" s="145"/>
      <c r="C25" s="145"/>
      <c r="D25" s="145"/>
      <c r="E25" s="146"/>
      <c r="F25" s="145"/>
      <c r="G25" s="145"/>
      <c r="H25" s="145"/>
    </row>
    <row r="26" spans="1:8" ht="14.25" x14ac:dyDescent="0.2">
      <c r="A26" s="145"/>
      <c r="B26" s="145"/>
      <c r="C26" s="145"/>
      <c r="D26" s="145"/>
      <c r="E26" s="146"/>
      <c r="F26" s="145"/>
      <c r="G26" s="145"/>
      <c r="H26" s="145"/>
    </row>
    <row r="27" spans="1:8" ht="14.25" x14ac:dyDescent="0.2">
      <c r="A27" s="145"/>
      <c r="B27" s="145"/>
      <c r="C27" s="145"/>
      <c r="D27" s="145"/>
      <c r="E27" s="146"/>
      <c r="F27" s="145"/>
      <c r="G27" s="145"/>
      <c r="H27" s="145"/>
    </row>
    <row r="28" spans="1:8" ht="14.25" x14ac:dyDescent="0.2">
      <c r="A28" s="145"/>
      <c r="B28" s="145"/>
      <c r="C28" s="145"/>
      <c r="D28" s="145"/>
      <c r="E28" s="146"/>
      <c r="F28" s="145"/>
      <c r="G28" s="145"/>
      <c r="H28" s="145"/>
    </row>
  </sheetData>
  <mergeCells count="4">
    <mergeCell ref="B20:B21"/>
    <mergeCell ref="D14:F14"/>
    <mergeCell ref="A12:F12"/>
    <mergeCell ref="A6:F7"/>
  </mergeCells>
  <pageMargins left="0.90551181102362199" right="0.51181102362204722" top="0.74803149606299213" bottom="0.74803149606299213" header="0.31496062992125984" footer="0.31496062992125984"/>
  <pageSetup paperSize="9" scale="9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3" sqref="B3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60" t="s">
        <v>225</v>
      </c>
      <c r="B1" s="361"/>
    </row>
    <row r="2" spans="1:2" s="106" customFormat="1" ht="19.5" customHeight="1" x14ac:dyDescent="0.2">
      <c r="A2" s="258" t="s">
        <v>203</v>
      </c>
      <c r="B2" s="259" t="s">
        <v>279</v>
      </c>
    </row>
    <row r="3" spans="1:2" ht="19.5" customHeight="1" x14ac:dyDescent="0.2">
      <c r="A3" s="164">
        <v>1</v>
      </c>
      <c r="B3" s="163">
        <v>33.629999999999995</v>
      </c>
    </row>
    <row r="4" spans="1:2" ht="19.5" customHeight="1" x14ac:dyDescent="0.2">
      <c r="A4" s="164">
        <v>2</v>
      </c>
      <c r="B4" s="163">
        <v>43.13</v>
      </c>
    </row>
    <row r="5" spans="1:2" ht="19.5" customHeight="1" x14ac:dyDescent="0.2">
      <c r="A5" s="164">
        <v>3</v>
      </c>
      <c r="B5" s="163">
        <v>48.68</v>
      </c>
    </row>
    <row r="6" spans="1:2" ht="19.5" customHeight="1" x14ac:dyDescent="0.2">
      <c r="A6" s="164">
        <v>4</v>
      </c>
      <c r="B6" s="163">
        <v>52.62</v>
      </c>
    </row>
    <row r="7" spans="1:2" ht="19.5" customHeight="1" x14ac:dyDescent="0.2">
      <c r="A7" s="164">
        <v>5</v>
      </c>
      <c r="B7" s="163">
        <v>55.679999999999993</v>
      </c>
    </row>
    <row r="8" spans="1:2" ht="19.5" customHeight="1" x14ac:dyDescent="0.2">
      <c r="A8" s="164">
        <v>6</v>
      </c>
      <c r="B8" s="163">
        <v>58.18</v>
      </c>
    </row>
    <row r="9" spans="1:2" ht="19.5" customHeight="1" x14ac:dyDescent="0.2">
      <c r="A9" s="164">
        <v>7</v>
      </c>
      <c r="B9" s="163">
        <v>60.29</v>
      </c>
    </row>
    <row r="10" spans="1:2" ht="19.5" customHeight="1" x14ac:dyDescent="0.2">
      <c r="A10" s="164">
        <v>8</v>
      </c>
      <c r="B10" s="163">
        <v>62.12</v>
      </c>
    </row>
    <row r="11" spans="1:2" ht="19.5" customHeight="1" x14ac:dyDescent="0.2">
      <c r="A11" s="164">
        <v>9</v>
      </c>
      <c r="B11" s="163">
        <v>63.73</v>
      </c>
    </row>
    <row r="12" spans="1:2" ht="19.5" customHeight="1" x14ac:dyDescent="0.2">
      <c r="A12" s="164">
        <v>10</v>
      </c>
      <c r="B12" s="163">
        <v>65.180000000000007</v>
      </c>
    </row>
    <row r="13" spans="1:2" ht="19.5" customHeight="1" x14ac:dyDescent="0.2">
      <c r="A13" s="164">
        <v>11</v>
      </c>
      <c r="B13" s="163">
        <v>66.47999999999999</v>
      </c>
    </row>
    <row r="14" spans="1:2" ht="19.5" customHeight="1" x14ac:dyDescent="0.2">
      <c r="A14" s="164">
        <v>12</v>
      </c>
      <c r="B14" s="163">
        <v>67.67</v>
      </c>
    </row>
    <row r="15" spans="1:2" ht="19.5" customHeight="1" x14ac:dyDescent="0.2">
      <c r="A15" s="164">
        <v>13</v>
      </c>
      <c r="B15" s="163">
        <v>68.77</v>
      </c>
    </row>
    <row r="16" spans="1:2" ht="19.5" customHeight="1" x14ac:dyDescent="0.2">
      <c r="A16" s="164">
        <v>14</v>
      </c>
      <c r="B16" s="163">
        <v>69.789999999999992</v>
      </c>
    </row>
    <row r="17" spans="1:2" ht="19.5" customHeight="1" thickBot="1" x14ac:dyDescent="0.25">
      <c r="A17" s="165">
        <v>15</v>
      </c>
      <c r="B17" s="166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4" sqref="A24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47" t="s">
        <v>229</v>
      </c>
    </row>
    <row r="2" spans="1:1" x14ac:dyDescent="0.2">
      <c r="A2" s="244"/>
    </row>
    <row r="3" spans="1:1" x14ac:dyDescent="0.2">
      <c r="A3" s="244" t="s">
        <v>244</v>
      </c>
    </row>
    <row r="4" spans="1:1" x14ac:dyDescent="0.2">
      <c r="A4" s="244"/>
    </row>
    <row r="5" spans="1:1" x14ac:dyDescent="0.2">
      <c r="A5" s="244"/>
    </row>
    <row r="6" spans="1:1" x14ac:dyDescent="0.2">
      <c r="A6" s="244"/>
    </row>
    <row r="7" spans="1:1" x14ac:dyDescent="0.2">
      <c r="A7" s="244"/>
    </row>
    <row r="8" spans="1:1" x14ac:dyDescent="0.2">
      <c r="A8" s="244"/>
    </row>
    <row r="9" spans="1:1" x14ac:dyDescent="0.2">
      <c r="A9" s="244"/>
    </row>
    <row r="10" spans="1:1" x14ac:dyDescent="0.2">
      <c r="A10" s="244"/>
    </row>
    <row r="11" spans="1:1" x14ac:dyDescent="0.2">
      <c r="A11" s="244"/>
    </row>
    <row r="12" spans="1:1" ht="19.5" x14ac:dyDescent="0.35">
      <c r="A12" s="245" t="s">
        <v>226</v>
      </c>
    </row>
    <row r="13" spans="1:1" ht="15" x14ac:dyDescent="0.2">
      <c r="A13" s="245" t="s">
        <v>107</v>
      </c>
    </row>
    <row r="14" spans="1:1" ht="15" x14ac:dyDescent="0.2">
      <c r="A14" s="245" t="s">
        <v>112</v>
      </c>
    </row>
    <row r="15" spans="1:1" ht="19.5" x14ac:dyDescent="0.35">
      <c r="A15" s="245" t="s">
        <v>227</v>
      </c>
    </row>
    <row r="16" spans="1:1" ht="19.5" x14ac:dyDescent="0.35">
      <c r="A16" s="245" t="s">
        <v>228</v>
      </c>
    </row>
    <row r="17" spans="1:1" ht="15.75" thickBot="1" x14ac:dyDescent="0.25">
      <c r="A17" s="246" t="s">
        <v>108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opLeftCell="A10" zoomScaleNormal="100" workbookViewId="0">
      <selection activeCell="A22" sqref="A22"/>
    </sheetView>
  </sheetViews>
  <sheetFormatPr defaultRowHeight="12.75" x14ac:dyDescent="0.2"/>
  <cols>
    <col min="1" max="1" width="58.28515625" style="270" customWidth="1"/>
    <col min="2" max="2" width="11.140625" style="270" bestFit="1" customWidth="1"/>
    <col min="3" max="3" width="11.28515625" style="270" bestFit="1" customWidth="1"/>
    <col min="4" max="16384" width="9.140625" style="270"/>
  </cols>
  <sheetData>
    <row r="1" spans="1:7" x14ac:dyDescent="0.2">
      <c r="A1" s="10" t="s">
        <v>200</v>
      </c>
    </row>
    <row r="2" spans="1:7" x14ac:dyDescent="0.2">
      <c r="A2" s="275" t="s">
        <v>255</v>
      </c>
    </row>
    <row r="3" spans="1:7" x14ac:dyDescent="0.2">
      <c r="A3" s="275" t="s">
        <v>280</v>
      </c>
    </row>
    <row r="4" spans="1:7" x14ac:dyDescent="0.2">
      <c r="A4" s="6" t="s">
        <v>278</v>
      </c>
    </row>
    <row r="5" spans="1:7" x14ac:dyDescent="0.2">
      <c r="A5" s="6"/>
    </row>
    <row r="6" spans="1:7" s="3" customFormat="1" ht="15.6" customHeight="1" x14ac:dyDescent="0.2">
      <c r="A6" s="294" t="s">
        <v>285</v>
      </c>
      <c r="B6" s="137"/>
      <c r="C6" s="137"/>
      <c r="D6" s="137"/>
      <c r="E6" s="137"/>
      <c r="F6" s="137"/>
      <c r="G6" s="5"/>
    </row>
    <row r="7" spans="1:7" s="3" customFormat="1" ht="16.5" customHeight="1" x14ac:dyDescent="0.2">
      <c r="A7" s="294" t="s">
        <v>282</v>
      </c>
      <c r="B7" s="4"/>
      <c r="C7" s="4"/>
      <c r="D7" s="5"/>
      <c r="E7" s="5"/>
      <c r="F7" s="5"/>
      <c r="G7" s="5"/>
    </row>
    <row r="8" spans="1:7" ht="13.5" thickBot="1" x14ac:dyDescent="0.25"/>
    <row r="9" spans="1:7" ht="18" x14ac:dyDescent="0.25">
      <c r="A9" s="362" t="s">
        <v>274</v>
      </c>
      <c r="B9" s="363"/>
      <c r="C9" s="364"/>
    </row>
    <row r="10" spans="1:7" s="276" customFormat="1" ht="18" x14ac:dyDescent="0.25">
      <c r="A10" s="291"/>
      <c r="B10" s="290"/>
      <c r="C10" s="292"/>
    </row>
    <row r="11" spans="1:7" s="106" customFormat="1" ht="15" x14ac:dyDescent="0.25">
      <c r="A11" s="277" t="s">
        <v>275</v>
      </c>
      <c r="B11" s="278" t="s">
        <v>256</v>
      </c>
      <c r="C11" s="279" t="s">
        <v>140</v>
      </c>
    </row>
    <row r="12" spans="1:7" ht="14.25" x14ac:dyDescent="0.2">
      <c r="A12" s="280" t="s">
        <v>264</v>
      </c>
      <c r="B12" s="281" t="s">
        <v>257</v>
      </c>
      <c r="C12" s="203">
        <v>39314</v>
      </c>
    </row>
    <row r="13" spans="1:7" ht="14.25" x14ac:dyDescent="0.2">
      <c r="A13" s="202" t="s">
        <v>265</v>
      </c>
      <c r="B13" s="282" t="s">
        <v>262</v>
      </c>
      <c r="C13" s="283">
        <f>0.0362741*C12^0.2336249</f>
        <v>0.42953374038588432</v>
      </c>
    </row>
    <row r="14" spans="1:7" ht="14.25" x14ac:dyDescent="0.2">
      <c r="A14" s="202" t="s">
        <v>266</v>
      </c>
      <c r="B14" s="282" t="s">
        <v>263</v>
      </c>
      <c r="C14" s="284">
        <f>C12*C13/1000</f>
        <v>16.886689469530655</v>
      </c>
    </row>
    <row r="15" spans="1:7" ht="14.25" x14ac:dyDescent="0.2">
      <c r="A15" s="202" t="s">
        <v>272</v>
      </c>
      <c r="B15" s="282" t="s">
        <v>258</v>
      </c>
      <c r="C15" s="285">
        <f>(C14*30)</f>
        <v>506.60068408591962</v>
      </c>
    </row>
    <row r="16" spans="1:7" ht="14.25" x14ac:dyDescent="0.2">
      <c r="A16" s="202" t="s">
        <v>268</v>
      </c>
      <c r="B16" s="282" t="s">
        <v>93</v>
      </c>
      <c r="C16" s="288">
        <v>6</v>
      </c>
    </row>
    <row r="17" spans="1:3" ht="14.25" x14ac:dyDescent="0.2">
      <c r="A17" s="202" t="s">
        <v>267</v>
      </c>
      <c r="B17" s="282" t="s">
        <v>263</v>
      </c>
      <c r="C17" s="284">
        <f>IFERROR(C14*7/C16,0)</f>
        <v>19.701137714452432</v>
      </c>
    </row>
    <row r="18" spans="1:3" ht="14.25" x14ac:dyDescent="0.2">
      <c r="A18" s="280" t="s">
        <v>259</v>
      </c>
      <c r="B18" s="282" t="s">
        <v>260</v>
      </c>
      <c r="C18" s="225">
        <v>500</v>
      </c>
    </row>
    <row r="19" spans="1:3" ht="14.25" x14ac:dyDescent="0.2">
      <c r="A19" s="202" t="s">
        <v>273</v>
      </c>
      <c r="B19" s="282"/>
      <c r="C19" s="203">
        <v>2</v>
      </c>
    </row>
    <row r="20" spans="1:3" ht="14.25" x14ac:dyDescent="0.2">
      <c r="A20" s="280" t="s">
        <v>317</v>
      </c>
      <c r="B20" s="282" t="s">
        <v>261</v>
      </c>
      <c r="C20" s="203">
        <v>55</v>
      </c>
    </row>
    <row r="21" spans="1:3" ht="14.25" x14ac:dyDescent="0.2">
      <c r="A21" s="202" t="s">
        <v>269</v>
      </c>
      <c r="B21" s="282" t="s">
        <v>258</v>
      </c>
      <c r="C21" s="225">
        <f>IF(AND(C20&gt;=15,C19=1),5.8,C20/2)</f>
        <v>27.5</v>
      </c>
    </row>
    <row r="22" spans="1:3" ht="14.25" x14ac:dyDescent="0.2">
      <c r="A22" s="280" t="s">
        <v>270</v>
      </c>
      <c r="B22" s="282"/>
      <c r="C22" s="284">
        <f>IFERROR(C17/C21,0)</f>
        <v>0.71640500779827032</v>
      </c>
    </row>
    <row r="23" spans="1:3" ht="14.25" x14ac:dyDescent="0.2">
      <c r="A23" s="280" t="s">
        <v>276</v>
      </c>
      <c r="B23" s="282"/>
      <c r="C23" s="293">
        <v>1</v>
      </c>
    </row>
    <row r="24" spans="1:3" ht="15" thickBot="1" x14ac:dyDescent="0.25">
      <c r="A24" s="286" t="s">
        <v>271</v>
      </c>
      <c r="B24" s="287"/>
      <c r="C24" s="289">
        <f>IFERROR(C22/C23,0)</f>
        <v>0.71640500779827032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1.Transporte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'1.Transporte'!Area_de_impressao</vt:lpstr>
      <vt:lpstr>'2.Encargos Sociais'!Area_de_impressao</vt:lpstr>
      <vt:lpstr>'4.BDI'!Area_de_impressao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ARQUITETURA</cp:lastModifiedBy>
  <cp:lastPrinted>2021-11-11T11:59:49Z</cp:lastPrinted>
  <dcterms:created xsi:type="dcterms:W3CDTF">2000-12-13T10:02:50Z</dcterms:created>
  <dcterms:modified xsi:type="dcterms:W3CDTF">2021-11-11T12:04:51Z</dcterms:modified>
</cp:coreProperties>
</file>