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ézar\Documents\Arquivos\Empresa de consultoria\a prefeituras\Rosario\planilhas de custos\"/>
    </mc:Choice>
  </mc:AlternateContent>
  <bookViews>
    <workbookView xWindow="-120" yWindow="-120" windowWidth="20730" windowHeight="11160" activeTab="2"/>
  </bookViews>
  <sheets>
    <sheet name="van 15 e 18 lugar" sheetId="1" r:id="rId1"/>
    <sheet name="micro 26 lugar" sheetId="2" r:id="rId2"/>
    <sheet name="onibus 40 lugar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2" i="3" l="1"/>
  <c r="B20" i="3"/>
  <c r="C52" i="2"/>
  <c r="B18" i="1"/>
  <c r="C52" i="1"/>
  <c r="D5" i="2" l="1"/>
  <c r="D5" i="3"/>
  <c r="D5" i="1"/>
  <c r="D52" i="1" l="1"/>
  <c r="D53" i="1" s="1"/>
  <c r="D51" i="1"/>
  <c r="C48" i="1"/>
  <c r="D52" i="2"/>
  <c r="D53" i="2" s="1"/>
  <c r="D51" i="2"/>
  <c r="C48" i="2"/>
  <c r="D52" i="3"/>
  <c r="D53" i="3" s="1"/>
  <c r="D51" i="3"/>
  <c r="C48" i="3"/>
  <c r="C49" i="3" l="1"/>
  <c r="D50" i="3" s="1"/>
  <c r="D54" i="3"/>
  <c r="D55" i="3" s="1"/>
  <c r="C49" i="1"/>
  <c r="D50" i="1" s="1"/>
  <c r="D54" i="1"/>
  <c r="C49" i="2"/>
  <c r="D50" i="2" s="1"/>
  <c r="D55" i="2" s="1"/>
  <c r="D54" i="2"/>
  <c r="D20" i="3"/>
  <c r="H67" i="3"/>
  <c r="H69" i="3" s="1"/>
  <c r="C40" i="3"/>
  <c r="C39" i="3"/>
  <c r="C38" i="3"/>
  <c r="C37" i="3"/>
  <c r="C36" i="3"/>
  <c r="B18" i="3"/>
  <c r="D16" i="3"/>
  <c r="C13" i="3"/>
  <c r="B24" i="3" s="1"/>
  <c r="B10" i="3"/>
  <c r="B11" i="3" s="1"/>
  <c r="C12" i="3" s="1"/>
  <c r="B23" i="3" s="1"/>
  <c r="D7" i="3"/>
  <c r="C17" i="3" s="1"/>
  <c r="B18" i="2"/>
  <c r="B20" i="2"/>
  <c r="H69" i="2"/>
  <c r="H67" i="2"/>
  <c r="C40" i="2"/>
  <c r="C39" i="2"/>
  <c r="C38" i="2"/>
  <c r="C37" i="2"/>
  <c r="C36" i="2"/>
  <c r="D20" i="2"/>
  <c r="D16" i="2"/>
  <c r="C13" i="2"/>
  <c r="B24" i="2" s="1"/>
  <c r="B10" i="2"/>
  <c r="B11" i="2" s="1"/>
  <c r="C12" i="2" s="1"/>
  <c r="B23" i="2" s="1"/>
  <c r="D7" i="2"/>
  <c r="C17" i="2" s="1"/>
  <c r="C40" i="1"/>
  <c r="C39" i="1"/>
  <c r="C38" i="1"/>
  <c r="C37" i="1"/>
  <c r="C36" i="1"/>
  <c r="D55" i="1" l="1"/>
  <c r="C19" i="3"/>
  <c r="D17" i="3"/>
  <c r="C18" i="3"/>
  <c r="D18" i="3" s="1"/>
  <c r="C19" i="2"/>
  <c r="C18" i="2"/>
  <c r="D18" i="2" s="1"/>
  <c r="D17" i="2"/>
  <c r="B20" i="1"/>
  <c r="B10" i="1"/>
  <c r="D7" i="1"/>
  <c r="D56" i="3" l="1"/>
  <c r="D57" i="3"/>
  <c r="D58" i="3" s="1"/>
  <c r="C21" i="3"/>
  <c r="D21" i="3" s="1"/>
  <c r="C22" i="3"/>
  <c r="C23" i="3" s="1"/>
  <c r="D19" i="3"/>
  <c r="D56" i="2"/>
  <c r="D57" i="2"/>
  <c r="C21" i="2"/>
  <c r="D21" i="2" s="1"/>
  <c r="C22" i="2"/>
  <c r="C23" i="2" s="1"/>
  <c r="D19" i="2"/>
  <c r="H67" i="1"/>
  <c r="H69" i="1" s="1"/>
  <c r="D58" i="2" l="1"/>
  <c r="I58" i="3"/>
  <c r="C24" i="3"/>
  <c r="D24" i="3" s="1"/>
  <c r="D23" i="3"/>
  <c r="C24" i="2"/>
  <c r="D24" i="2" s="1"/>
  <c r="D23" i="2"/>
  <c r="I58" i="2"/>
  <c r="D57" i="1"/>
  <c r="I68" i="3" l="1"/>
  <c r="I65" i="3"/>
  <c r="I61" i="3"/>
  <c r="I67" i="3"/>
  <c r="I64" i="3"/>
  <c r="I63" i="3"/>
  <c r="I66" i="3"/>
  <c r="I62" i="3"/>
  <c r="I68" i="2"/>
  <c r="I65" i="2"/>
  <c r="I61" i="2"/>
  <c r="I62" i="2"/>
  <c r="I67" i="2"/>
  <c r="I64" i="2"/>
  <c r="I63" i="2"/>
  <c r="I66" i="2"/>
  <c r="D56" i="1"/>
  <c r="I58" i="1" s="1"/>
  <c r="D58" i="1"/>
  <c r="D20" i="1"/>
  <c r="I69" i="3" l="1"/>
  <c r="I71" i="3" s="1"/>
  <c r="I72" i="3" s="1"/>
  <c r="B22" i="3" s="1"/>
  <c r="D22" i="3" s="1"/>
  <c r="D25" i="3" s="1"/>
  <c r="D27" i="3" s="1"/>
  <c r="I69" i="2"/>
  <c r="I71" i="2" s="1"/>
  <c r="I72" i="2" s="1"/>
  <c r="B22" i="2" s="1"/>
  <c r="D22" i="2" s="1"/>
  <c r="D25" i="2" s="1"/>
  <c r="I67" i="1"/>
  <c r="I66" i="1"/>
  <c r="I68" i="1"/>
  <c r="I62" i="1"/>
  <c r="I61" i="1"/>
  <c r="I63" i="1"/>
  <c r="I65" i="1"/>
  <c r="I64" i="1"/>
  <c r="D16" i="1"/>
  <c r="D28" i="3" l="1"/>
  <c r="D29" i="3" s="1"/>
  <c r="D27" i="2"/>
  <c r="D28" i="2"/>
  <c r="C13" i="1"/>
  <c r="B24" i="1" s="1"/>
  <c r="B11" i="1"/>
  <c r="C12" i="1" s="1"/>
  <c r="B23" i="1" s="1"/>
  <c r="C17" i="1"/>
  <c r="C19" i="1" s="1"/>
  <c r="D30" i="3" l="1"/>
  <c r="D32" i="3"/>
  <c r="D29" i="2"/>
  <c r="C22" i="1"/>
  <c r="C21" i="1"/>
  <c r="D21" i="1" s="1"/>
  <c r="C18" i="1"/>
  <c r="D33" i="3" l="1"/>
  <c r="D36" i="3"/>
  <c r="D39" i="3"/>
  <c r="D38" i="3"/>
  <c r="D40" i="3"/>
  <c r="D37" i="3"/>
  <c r="D30" i="2"/>
  <c r="D32" i="2"/>
  <c r="C23" i="1"/>
  <c r="D19" i="1"/>
  <c r="D18" i="1"/>
  <c r="D17" i="1"/>
  <c r="D42" i="3" l="1"/>
  <c r="D41" i="3"/>
  <c r="D33" i="2"/>
  <c r="D36" i="2"/>
  <c r="D40" i="2"/>
  <c r="C24" i="1"/>
  <c r="D24" i="1" s="1"/>
  <c r="D23" i="1"/>
  <c r="D38" i="2" l="1"/>
  <c r="D42" i="2"/>
  <c r="D41" i="2"/>
  <c r="D39" i="2"/>
  <c r="D37" i="2"/>
  <c r="I69" i="1"/>
  <c r="I71" i="1" s="1"/>
  <c r="I72" i="1" s="1"/>
  <c r="B22" i="1" s="1"/>
  <c r="D22" i="1" s="1"/>
  <c r="D25" i="1" s="1"/>
  <c r="D28" i="1" l="1"/>
  <c r="D27" i="1"/>
  <c r="D29" i="1" l="1"/>
  <c r="D30" i="1" l="1"/>
  <c r="D32" i="1"/>
  <c r="D33" i="1" l="1"/>
  <c r="D40" i="1" s="1"/>
  <c r="D39" i="1"/>
  <c r="D36" i="1" l="1"/>
  <c r="D41" i="1"/>
  <c r="D42" i="1"/>
  <c r="D37" i="1"/>
  <c r="D38" i="1"/>
</calcChain>
</file>

<file path=xl/comments1.xml><?xml version="1.0" encoding="utf-8"?>
<comments xmlns="http://schemas.openxmlformats.org/spreadsheetml/2006/main">
  <authors>
    <author>Oscar Emil Soares</author>
  </authors>
  <commentList>
    <comment ref="D6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comments2.xml><?xml version="1.0" encoding="utf-8"?>
<comments xmlns="http://schemas.openxmlformats.org/spreadsheetml/2006/main">
  <authors>
    <author>Oscar Emil Soares</author>
  </authors>
  <commentList>
    <comment ref="D6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comments3.xml><?xml version="1.0" encoding="utf-8"?>
<comments xmlns="http://schemas.openxmlformats.org/spreadsheetml/2006/main">
  <authors>
    <author>Oscar Emil Soares</author>
  </authors>
  <commentList>
    <comment ref="D6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sharedStrings.xml><?xml version="1.0" encoding="utf-8"?>
<sst xmlns="http://schemas.openxmlformats.org/spreadsheetml/2006/main" count="288" uniqueCount="99">
  <si>
    <t>Item de custo</t>
  </si>
  <si>
    <t>custo/km</t>
  </si>
  <si>
    <t>Diesel</t>
  </si>
  <si>
    <t>Manutenção geral</t>
  </si>
  <si>
    <t>Salário motorista+encargos</t>
  </si>
  <si>
    <t>R$</t>
  </si>
  <si>
    <t>lubrificação mensal</t>
  </si>
  <si>
    <t>Planilha de custos</t>
  </si>
  <si>
    <t>valor R$</t>
  </si>
  <si>
    <t>Custo aquisição máquina</t>
  </si>
  <si>
    <t>Base cálculo para depreciação</t>
  </si>
  <si>
    <t>Vida útil e valor depreciação mês</t>
  </si>
  <si>
    <t>Depreciação</t>
  </si>
  <si>
    <t>Custo de oportunidade ano/mês</t>
  </si>
  <si>
    <t>Custo de oportunidade mês</t>
  </si>
  <si>
    <t>Sub-total</t>
  </si>
  <si>
    <t>Tributos incidentes sobre a nota</t>
  </si>
  <si>
    <t>Custos indiretos</t>
  </si>
  <si>
    <t xml:space="preserve">Lucro </t>
  </si>
  <si>
    <t>produtividade/km</t>
  </si>
  <si>
    <t>kms rodados por mês</t>
  </si>
  <si>
    <t>Custo direto por km</t>
  </si>
  <si>
    <t>Total final do preço por km</t>
  </si>
  <si>
    <t>Seguro passageiros-mensal</t>
  </si>
  <si>
    <t>Pneus 4</t>
  </si>
  <si>
    <t>4.1</t>
  </si>
  <si>
    <t>Encargos Previdenciários e FGTS</t>
  </si>
  <si>
    <t>Percentual (%)</t>
  </si>
  <si>
    <t>Valor (R$)</t>
  </si>
  <si>
    <t>A</t>
  </si>
  <si>
    <t>INSS</t>
  </si>
  <si>
    <t>B</t>
  </si>
  <si>
    <t>SESI ou SESC</t>
  </si>
  <si>
    <t>C</t>
  </si>
  <si>
    <t>SENAI ou SENAC</t>
  </si>
  <si>
    <t>D</t>
  </si>
  <si>
    <t>INCRA</t>
  </si>
  <si>
    <t>E</t>
  </si>
  <si>
    <t>Salário educação</t>
  </si>
  <si>
    <t>F</t>
  </si>
  <si>
    <t>FGTS</t>
  </si>
  <si>
    <t>G</t>
  </si>
  <si>
    <r>
      <t xml:space="preserve">Seguro Acidente de Trabalho =                          SAT = (RAT x FAP)
</t>
    </r>
    <r>
      <rPr>
        <sz val="10"/>
        <color indexed="10"/>
        <rFont val="Arial"/>
        <family val="2"/>
      </rPr>
      <t>SAT =</t>
    </r>
    <r>
      <rPr>
        <b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 %Riscos Ambientais do Trabalho x Fator Acidentário de Prevenção de cada empresa )</t>
    </r>
  </si>
  <si>
    <t>RAT =</t>
  </si>
  <si>
    <t xml:space="preserve"> FAP =</t>
  </si>
  <si>
    <t>H</t>
  </si>
  <si>
    <t>SEBRAE</t>
  </si>
  <si>
    <t>TOTAL</t>
  </si>
  <si>
    <t>Insalubridade</t>
  </si>
  <si>
    <t>Vale transporte</t>
  </si>
  <si>
    <t>Vale alimentação</t>
  </si>
  <si>
    <t>Custo total remuneração</t>
  </si>
  <si>
    <t>Provisão 13º salário</t>
  </si>
  <si>
    <t>Provisão férias</t>
  </si>
  <si>
    <t>Custo total mensal com provisões</t>
  </si>
  <si>
    <t>Custo base para encargos</t>
  </si>
  <si>
    <t>Custo base funcionário</t>
  </si>
  <si>
    <t>índice de incidência ref. Utilização funcionário no contrato do município</t>
  </si>
  <si>
    <t>Detalhamento da Composição dos salários</t>
  </si>
  <si>
    <t>Custo total salárial</t>
  </si>
  <si>
    <t>DECLARAÇÕES QUE A EMPRESA LICITANTE DEVE FAZER:</t>
  </si>
  <si>
    <t>A empresa é otante pelo seguinte regime de tributação e recolhe, atualmente, as seguintes alíquotas de tributos:</t>
  </si>
  <si>
    <t>(     ) a) Lucro presumido, recolhendo: Cofins (       %); Pis (       %); IRPJ (        %); CSLL (       %). Após contratar com a prefeitura manterá estas alíquotas; (caso ocorrer alteração nas alíquotas, as mesmas serão as seguintes .......</t>
  </si>
  <si>
    <t>(     ) b) Lucro real, recolhendo: Cofins (       %); Pis (       %); IRPJ (        %); CSLL (       %). Após contratar com a prefeitura manterá estas alíquotas; (caso ocorrer alteração nas alíquotas, as mesmas serão as seguintes .......</t>
  </si>
  <si>
    <t>(     ) c) Simples nacional, recolhendo a alíquota atual de (       %), estando enquandrado no anexo (        );  Com este contrato a empresa passará a recolher aliquota (        %) e passará para o anexo (        ), não se desenquadrará do simples nacional. (OU) Após assinatura do contrato a empresa se descredenciará do simples e passará para a tributação do ..................</t>
  </si>
  <si>
    <t>Observação: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</si>
  <si>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</si>
  <si>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</si>
  <si>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</si>
  <si>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</si>
  <si>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Portanto, baseado nestes aspectos, cabe a empresa identificar quais os enquadramentos trabalhistas e tributários corretos para a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</si>
  <si>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Assim, com esta prova de má fé por parte do licitante, o município poderá desabilitar a empresa durante o processo licitatório, ou mesmo, rescindir o contrato em vigor, pelo bem do serviço público.</t>
  </si>
  <si>
    <t>Como no Brasil existem muitos sindicatos, cabe a empresa apontar em qual dissídio e sindicato, seus colaboradores serão enquadrados, observando-se as regras dos mesmos.</t>
  </si>
  <si>
    <t>kms rodados por dia</t>
  </si>
  <si>
    <t xml:space="preserve">dias por mês </t>
  </si>
  <si>
    <t>Valor residual 20%</t>
  </si>
  <si>
    <r>
      <t>1.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Rosário – São Gabriel (63,8 km)</t>
    </r>
  </si>
  <si>
    <r>
      <t>2.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Rosário – Porto Alegre (389 km)</t>
    </r>
  </si>
  <si>
    <r>
      <t>3.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Rosário – Santa Maria (138 km)</t>
    </r>
  </si>
  <si>
    <r>
      <t>4.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Rosário – Uruguaiana (245 km)</t>
    </r>
  </si>
  <si>
    <t xml:space="preserve">5. Rosário – Alegrete (105 km) </t>
  </si>
  <si>
    <t>TRANSPORTES:</t>
  </si>
  <si>
    <t>Km de Ida e volta</t>
  </si>
  <si>
    <t>Preço total</t>
  </si>
  <si>
    <t>van 15 e 18 lugares transporte</t>
  </si>
  <si>
    <t>micro 26 lugares transporte</t>
  </si>
  <si>
    <t>Pneus 6</t>
  </si>
  <si>
    <t>IPVA/DPVAT anual e outros custos</t>
  </si>
  <si>
    <t>onibus 40 lugares transporte</t>
  </si>
  <si>
    <t>Salário base cfe convenção coletiva para 220 hs</t>
  </si>
  <si>
    <t>Salário base para 200 horas</t>
  </si>
  <si>
    <t>Desconto alimentação cfe cct</t>
  </si>
  <si>
    <t>Desconto transporte</t>
  </si>
  <si>
    <t>kms rodados por hora/média</t>
  </si>
  <si>
    <t>Horas por dia úteis de viagem</t>
  </si>
  <si>
    <t>Cofins 3%; Pis 0,65%; ISSQN 0%</t>
  </si>
  <si>
    <t>ICMS 12%</t>
  </si>
  <si>
    <t xml:space="preserve">7. Rosário – Ijui (320 km) </t>
  </si>
  <si>
    <t xml:space="preserve">6. Rosário – Bagé (200 km)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</si>
</sst>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Arial"/>
      <family val="2"/>
    </font>
    <font>
      <sz val="7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0" fillId="0" borderId="1" xfId="0" applyNumberFormat="1" applyBorder="1"/>
    <xf numFmtId="0" fontId="2" fillId="0" borderId="0" xfId="0" applyFont="1"/>
    <xf numFmtId="9" fontId="0" fillId="0" borderId="1" xfId="0" applyNumberFormat="1" applyBorder="1"/>
    <xf numFmtId="0" fontId="2" fillId="0" borderId="1" xfId="0" applyFont="1" applyBorder="1"/>
    <xf numFmtId="43" fontId="2" fillId="0" borderId="1" xfId="0" applyNumberFormat="1" applyFont="1" applyBorder="1"/>
    <xf numFmtId="10" fontId="0" fillId="0" borderId="1" xfId="0" applyNumberFormat="1" applyBorder="1"/>
    <xf numFmtId="10" fontId="3" fillId="0" borderId="0" xfId="0" applyNumberFormat="1" applyFont="1" applyAlignment="1">
      <alignment horizontal="center"/>
    </xf>
    <xf numFmtId="43" fontId="0" fillId="0" borderId="0" xfId="0" applyNumberFormat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3" fontId="2" fillId="0" borderId="0" xfId="0" applyNumberFormat="1" applyFont="1"/>
    <xf numFmtId="43" fontId="2" fillId="0" borderId="1" xfId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1" fillId="4" borderId="0" xfId="2" applyFont="1" applyFill="1"/>
    <xf numFmtId="0" fontId="10" fillId="4" borderId="0" xfId="2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NumberFormat="1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4" fillId="0" borderId="1" xfId="0" applyFont="1" applyBorder="1"/>
    <xf numFmtId="9" fontId="0" fillId="0" borderId="1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2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3">
    <cellStyle name="Excel Built-in Normal" xfId="2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76200</xdr:rowOff>
    </xdr:from>
    <xdr:to>
      <xdr:col>8</xdr:col>
      <xdr:colOff>333375</xdr:colOff>
      <xdr:row>45</xdr:row>
      <xdr:rowOff>161925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0"/>
          <a:ext cx="769620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180976</xdr:rowOff>
    </xdr:from>
    <xdr:to>
      <xdr:col>8</xdr:col>
      <xdr:colOff>333375</xdr:colOff>
      <xdr:row>45</xdr:row>
      <xdr:rowOff>47626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91476"/>
          <a:ext cx="76962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171451</xdr:rowOff>
    </xdr:from>
    <xdr:to>
      <xdr:col>8</xdr:col>
      <xdr:colOff>333375</xdr:colOff>
      <xdr:row>45</xdr:row>
      <xdr:rowOff>47625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1951"/>
          <a:ext cx="7696200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1"/>
  <sheetViews>
    <sheetView topLeftCell="A41" workbookViewId="0">
      <selection activeCell="A45" sqref="A45:I45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1.7109375" customWidth="1"/>
    <col min="5" max="5" width="10.7109375" customWidth="1"/>
    <col min="9" max="9" width="9.5703125" bestFit="1" customWidth="1"/>
  </cols>
  <sheetData>
    <row r="1" spans="1:6" x14ac:dyDescent="0.25">
      <c r="A1" s="46" t="s">
        <v>7</v>
      </c>
      <c r="B1" s="46"/>
      <c r="C1" s="46"/>
      <c r="D1" s="46"/>
      <c r="E1" s="46"/>
      <c r="F1" s="46"/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A3" s="44"/>
      <c r="B3" s="45" t="s">
        <v>94</v>
      </c>
      <c r="C3" s="44"/>
      <c r="D3" s="44">
        <v>7</v>
      </c>
      <c r="E3" s="44"/>
      <c r="F3" s="44"/>
    </row>
    <row r="4" spans="1:6" x14ac:dyDescent="0.25">
      <c r="A4" s="44"/>
      <c r="B4" s="45" t="s">
        <v>93</v>
      </c>
      <c r="C4" s="44"/>
      <c r="D4" s="44">
        <v>50</v>
      </c>
      <c r="E4" s="44"/>
      <c r="F4" s="44"/>
    </row>
    <row r="5" spans="1:6" x14ac:dyDescent="0.25">
      <c r="A5" s="34"/>
      <c r="B5" s="40" t="s">
        <v>73</v>
      </c>
      <c r="C5" s="34"/>
      <c r="D5" s="34">
        <f>D3*D4</f>
        <v>350</v>
      </c>
      <c r="E5" s="34"/>
      <c r="F5" s="34"/>
    </row>
    <row r="6" spans="1:6" x14ac:dyDescent="0.25">
      <c r="A6" s="34"/>
      <c r="B6" s="40" t="s">
        <v>74</v>
      </c>
      <c r="C6" s="34"/>
      <c r="D6" s="34">
        <v>20</v>
      </c>
      <c r="E6" s="34"/>
      <c r="F6" s="34"/>
    </row>
    <row r="7" spans="1:6" x14ac:dyDescent="0.25">
      <c r="A7" s="10" t="s">
        <v>84</v>
      </c>
      <c r="B7" t="s">
        <v>20</v>
      </c>
      <c r="D7">
        <f>D5*D6</f>
        <v>7000</v>
      </c>
    </row>
    <row r="9" spans="1:6" x14ac:dyDescent="0.25">
      <c r="A9" s="6" t="s">
        <v>9</v>
      </c>
      <c r="B9" s="7">
        <v>180000</v>
      </c>
      <c r="C9" s="6"/>
      <c r="D9" s="6"/>
      <c r="E9" s="6"/>
      <c r="F9" s="6"/>
    </row>
    <row r="10" spans="1:6" x14ac:dyDescent="0.25">
      <c r="A10" s="6" t="s">
        <v>75</v>
      </c>
      <c r="B10" s="7">
        <f>B9*20%</f>
        <v>36000</v>
      </c>
      <c r="C10" s="6"/>
      <c r="D10" s="6"/>
      <c r="E10" s="6"/>
      <c r="F10" s="6"/>
    </row>
    <row r="11" spans="1:6" x14ac:dyDescent="0.25">
      <c r="A11" s="6" t="s">
        <v>10</v>
      </c>
      <c r="B11" s="7">
        <f>B9-B10</f>
        <v>144000</v>
      </c>
      <c r="C11" s="6"/>
      <c r="D11" s="6"/>
      <c r="E11" s="6"/>
      <c r="F11" s="6"/>
    </row>
    <row r="12" spans="1:6" x14ac:dyDescent="0.25">
      <c r="A12" s="6" t="s">
        <v>11</v>
      </c>
      <c r="B12" s="7">
        <v>60</v>
      </c>
      <c r="C12" s="7">
        <f>B11/B12</f>
        <v>2400</v>
      </c>
      <c r="D12" s="6"/>
      <c r="E12" s="6"/>
      <c r="F12" s="6"/>
    </row>
    <row r="13" spans="1:6" x14ac:dyDescent="0.25">
      <c r="A13" s="6" t="s">
        <v>13</v>
      </c>
      <c r="B13" s="15">
        <v>0.13750000000000001</v>
      </c>
      <c r="C13" s="8">
        <f>B9*B13/12</f>
        <v>2062.5000000000005</v>
      </c>
      <c r="D13" s="6"/>
      <c r="E13" s="6"/>
      <c r="F13" s="6"/>
    </row>
    <row r="15" spans="1:6" x14ac:dyDescent="0.25">
      <c r="A15" s="1" t="s">
        <v>0</v>
      </c>
      <c r="B15" s="1" t="s">
        <v>8</v>
      </c>
      <c r="C15" s="1" t="s">
        <v>19</v>
      </c>
      <c r="D15" s="1" t="s">
        <v>1</v>
      </c>
    </row>
    <row r="16" spans="1:6" x14ac:dyDescent="0.25">
      <c r="A16" s="2" t="s">
        <v>2</v>
      </c>
      <c r="B16" s="2">
        <v>5.6</v>
      </c>
      <c r="C16" s="2">
        <v>4.5</v>
      </c>
      <c r="D16" s="3">
        <f t="shared" ref="D16:D22" si="0">B16/C16</f>
        <v>1.2444444444444445</v>
      </c>
    </row>
    <row r="17" spans="1:4" x14ac:dyDescent="0.25">
      <c r="A17" s="2" t="s">
        <v>6</v>
      </c>
      <c r="B17" s="3">
        <v>500</v>
      </c>
      <c r="C17" s="2">
        <f>D7</f>
        <v>7000</v>
      </c>
      <c r="D17" s="3">
        <f t="shared" si="0"/>
        <v>7.1428571428571425E-2</v>
      </c>
    </row>
    <row r="18" spans="1:4" x14ac:dyDescent="0.25">
      <c r="A18" s="2" t="s">
        <v>87</v>
      </c>
      <c r="B18" s="3">
        <f>B9*2%</f>
        <v>3600</v>
      </c>
      <c r="C18" s="2">
        <f>C17*12</f>
        <v>84000</v>
      </c>
      <c r="D18" s="3">
        <f t="shared" si="0"/>
        <v>4.2857142857142858E-2</v>
      </c>
    </row>
    <row r="19" spans="1:4" x14ac:dyDescent="0.25">
      <c r="A19" s="2" t="s">
        <v>3</v>
      </c>
      <c r="B19" s="3">
        <v>600</v>
      </c>
      <c r="C19" s="2">
        <f>C17</f>
        <v>7000</v>
      </c>
      <c r="D19" s="3">
        <f t="shared" si="0"/>
        <v>8.5714285714285715E-2</v>
      </c>
    </row>
    <row r="20" spans="1:4" x14ac:dyDescent="0.25">
      <c r="A20" s="2" t="s">
        <v>24</v>
      </c>
      <c r="B20" s="3">
        <f>4*950</f>
        <v>3800</v>
      </c>
      <c r="C20" s="2">
        <v>70000</v>
      </c>
      <c r="D20" s="3">
        <f t="shared" si="0"/>
        <v>5.4285714285714284E-2</v>
      </c>
    </row>
    <row r="21" spans="1:4" x14ac:dyDescent="0.25">
      <c r="A21" s="2" t="s">
        <v>23</v>
      </c>
      <c r="B21" s="3">
        <v>300</v>
      </c>
      <c r="C21" s="2">
        <f>C19</f>
        <v>7000</v>
      </c>
      <c r="D21" s="3">
        <f t="shared" si="0"/>
        <v>4.2857142857142858E-2</v>
      </c>
    </row>
    <row r="22" spans="1:4" x14ac:dyDescent="0.25">
      <c r="A22" s="2" t="s">
        <v>4</v>
      </c>
      <c r="B22" s="3">
        <f>I72</f>
        <v>5744.7382616161613</v>
      </c>
      <c r="C22" s="2">
        <f>C19</f>
        <v>7000</v>
      </c>
      <c r="D22" s="3">
        <f t="shared" si="0"/>
        <v>0.82067689451659442</v>
      </c>
    </row>
    <row r="23" spans="1:4" x14ac:dyDescent="0.25">
      <c r="A23" s="2" t="s">
        <v>12</v>
      </c>
      <c r="B23" s="3">
        <f>C12</f>
        <v>2400</v>
      </c>
      <c r="C23" s="2">
        <f>C22</f>
        <v>7000</v>
      </c>
      <c r="D23" s="3">
        <f t="shared" ref="D23:D24" si="1">B23/C23</f>
        <v>0.34285714285714286</v>
      </c>
    </row>
    <row r="24" spans="1:4" x14ac:dyDescent="0.25">
      <c r="A24" s="2" t="s">
        <v>14</v>
      </c>
      <c r="B24" s="9">
        <f>C13</f>
        <v>2062.5000000000005</v>
      </c>
      <c r="C24" s="2">
        <f>C23</f>
        <v>7000</v>
      </c>
      <c r="D24" s="3">
        <f t="shared" si="1"/>
        <v>0.29464285714285721</v>
      </c>
    </row>
    <row r="25" spans="1:4" x14ac:dyDescent="0.25">
      <c r="A25" s="4" t="s">
        <v>21</v>
      </c>
      <c r="B25" s="4"/>
      <c r="C25" s="4" t="s">
        <v>5</v>
      </c>
      <c r="D25" s="5">
        <f>SUM(D16:D24)</f>
        <v>2.9997641961038961</v>
      </c>
    </row>
    <row r="27" spans="1:4" x14ac:dyDescent="0.25">
      <c r="A27" s="2" t="s">
        <v>17</v>
      </c>
      <c r="B27" s="2"/>
      <c r="C27" s="11">
        <v>0.15</v>
      </c>
      <c r="D27" s="9">
        <f>D25*C27</f>
        <v>0.44996462941558441</v>
      </c>
    </row>
    <row r="28" spans="1:4" x14ac:dyDescent="0.25">
      <c r="A28" s="2" t="s">
        <v>18</v>
      </c>
      <c r="B28" s="2"/>
      <c r="C28" s="11">
        <v>0.15</v>
      </c>
      <c r="D28" s="9">
        <f>D25*C28</f>
        <v>0.44996462941558441</v>
      </c>
    </row>
    <row r="29" spans="1:4" x14ac:dyDescent="0.25">
      <c r="A29" s="12" t="s">
        <v>15</v>
      </c>
      <c r="B29" s="12"/>
      <c r="C29" s="12"/>
      <c r="D29" s="13">
        <f>D28+D27+D25</f>
        <v>3.8996934549350648</v>
      </c>
    </row>
    <row r="30" spans="1:4" x14ac:dyDescent="0.25">
      <c r="A30" s="2" t="s">
        <v>16</v>
      </c>
      <c r="B30" s="2"/>
      <c r="C30" s="14">
        <v>3.6499999999999998E-2</v>
      </c>
      <c r="D30" s="9">
        <f>D29*C30</f>
        <v>0.14233881110512986</v>
      </c>
    </row>
    <row r="31" spans="1:4" x14ac:dyDescent="0.25">
      <c r="A31" s="2" t="s">
        <v>95</v>
      </c>
      <c r="B31" s="2"/>
      <c r="C31" s="11"/>
      <c r="D31" s="9"/>
    </row>
    <row r="32" spans="1:4" x14ac:dyDescent="0.25">
      <c r="A32" s="2" t="s">
        <v>96</v>
      </c>
      <c r="B32" s="2"/>
      <c r="C32" s="11">
        <v>0.12</v>
      </c>
      <c r="D32" s="9">
        <f>D29*C32</f>
        <v>0.46796321459220774</v>
      </c>
    </row>
    <row r="33" spans="1:9" x14ac:dyDescent="0.25">
      <c r="A33" s="12" t="s">
        <v>22</v>
      </c>
      <c r="B33" s="12"/>
      <c r="C33" s="12"/>
      <c r="D33" s="13">
        <f>D29+D30+D32</f>
        <v>4.5099954806324032</v>
      </c>
    </row>
    <row r="35" spans="1:9" x14ac:dyDescent="0.25">
      <c r="A35" s="12" t="s">
        <v>81</v>
      </c>
      <c r="B35" s="2"/>
      <c r="C35" s="12" t="s">
        <v>82</v>
      </c>
      <c r="D35" s="12" t="s">
        <v>83</v>
      </c>
    </row>
    <row r="36" spans="1:9" x14ac:dyDescent="0.25">
      <c r="A36" s="41" t="s">
        <v>76</v>
      </c>
      <c r="B36" s="2"/>
      <c r="C36" s="2">
        <f>63.8*2</f>
        <v>127.6</v>
      </c>
      <c r="D36" s="9">
        <f>C36*D$33</f>
        <v>575.47542332869466</v>
      </c>
    </row>
    <row r="37" spans="1:9" x14ac:dyDescent="0.25">
      <c r="A37" s="41" t="s">
        <v>77</v>
      </c>
      <c r="B37" s="2"/>
      <c r="C37" s="2">
        <f>389*2</f>
        <v>778</v>
      </c>
      <c r="D37" s="9">
        <f t="shared" ref="D37:D40" si="2">C37*D$33</f>
        <v>3508.7764839320098</v>
      </c>
    </row>
    <row r="38" spans="1:9" x14ac:dyDescent="0.25">
      <c r="A38" s="41" t="s">
        <v>78</v>
      </c>
      <c r="B38" s="2"/>
      <c r="C38" s="2">
        <f>138*2</f>
        <v>276</v>
      </c>
      <c r="D38" s="9">
        <f t="shared" si="2"/>
        <v>1244.7587526545433</v>
      </c>
    </row>
    <row r="39" spans="1:9" x14ac:dyDescent="0.25">
      <c r="A39" s="41" t="s">
        <v>79</v>
      </c>
      <c r="B39" s="2"/>
      <c r="C39" s="2">
        <f>245*2</f>
        <v>490</v>
      </c>
      <c r="D39" s="9">
        <f t="shared" si="2"/>
        <v>2209.8977855098774</v>
      </c>
    </row>
    <row r="40" spans="1:9" x14ac:dyDescent="0.25">
      <c r="A40" s="42" t="s">
        <v>80</v>
      </c>
      <c r="B40" s="2"/>
      <c r="C40" s="2">
        <f>105*2</f>
        <v>210</v>
      </c>
      <c r="D40" s="9">
        <f t="shared" si="2"/>
        <v>947.09905093280463</v>
      </c>
    </row>
    <row r="41" spans="1:9" x14ac:dyDescent="0.25">
      <c r="A41" s="42" t="s">
        <v>98</v>
      </c>
      <c r="B41" s="2"/>
      <c r="C41" s="2">
        <v>400</v>
      </c>
      <c r="D41" s="9">
        <f t="shared" ref="D41:D42" si="3">C41*D$33</f>
        <v>1803.9981922529612</v>
      </c>
    </row>
    <row r="42" spans="1:9" x14ac:dyDescent="0.25">
      <c r="A42" s="42" t="s">
        <v>97</v>
      </c>
      <c r="B42" s="2"/>
      <c r="C42" s="2">
        <v>640</v>
      </c>
      <c r="D42" s="9">
        <f t="shared" si="3"/>
        <v>2886.3971076047383</v>
      </c>
    </row>
    <row r="45" spans="1:9" ht="31.5" customHeight="1" x14ac:dyDescent="0.25">
      <c r="A45" s="53"/>
      <c r="B45" s="53"/>
      <c r="C45" s="53"/>
      <c r="D45" s="53"/>
      <c r="E45" s="53"/>
      <c r="F45" s="53"/>
      <c r="G45" s="53"/>
      <c r="H45" s="53"/>
      <c r="I45" s="53"/>
    </row>
    <row r="46" spans="1:9" x14ac:dyDescent="0.25">
      <c r="A46" s="10" t="s">
        <v>58</v>
      </c>
      <c r="D46" s="16"/>
    </row>
    <row r="47" spans="1:9" x14ac:dyDescent="0.25">
      <c r="A47" s="12" t="s">
        <v>89</v>
      </c>
      <c r="B47" s="2"/>
      <c r="C47" s="3">
        <v>3296.88</v>
      </c>
      <c r="D47" s="9">
        <v>220</v>
      </c>
    </row>
    <row r="48" spans="1:9" x14ac:dyDescent="0.25">
      <c r="A48" s="2" t="s">
        <v>90</v>
      </c>
      <c r="B48" s="2"/>
      <c r="C48" s="3">
        <f>C47/D47*200</f>
        <v>2997.1636363636362</v>
      </c>
      <c r="D48" s="9"/>
    </row>
    <row r="49" spans="1:9" x14ac:dyDescent="0.25">
      <c r="A49" s="2" t="s">
        <v>48</v>
      </c>
      <c r="B49" s="11">
        <v>0.2</v>
      </c>
      <c r="C49" s="9">
        <f>C48*B49</f>
        <v>599.43272727272722</v>
      </c>
      <c r="D49" s="2"/>
    </row>
    <row r="50" spans="1:9" x14ac:dyDescent="0.25">
      <c r="A50" s="31" t="s">
        <v>56</v>
      </c>
      <c r="B50" s="11"/>
      <c r="C50" s="9"/>
      <c r="D50" s="13">
        <f>C49+C48</f>
        <v>3596.5963636363635</v>
      </c>
    </row>
    <row r="51" spans="1:9" x14ac:dyDescent="0.25">
      <c r="A51" s="2" t="s">
        <v>49</v>
      </c>
      <c r="B51" s="2">
        <v>20</v>
      </c>
      <c r="C51" s="3">
        <v>9.4</v>
      </c>
      <c r="D51" s="3">
        <f>C51*B51</f>
        <v>188</v>
      </c>
    </row>
    <row r="52" spans="1:9" x14ac:dyDescent="0.25">
      <c r="A52" s="2" t="s">
        <v>50</v>
      </c>
      <c r="B52" s="2">
        <v>1</v>
      </c>
      <c r="C52" s="3">
        <f>242.03*1.07</f>
        <v>258.97210000000001</v>
      </c>
      <c r="D52" s="3">
        <f>B52*C52</f>
        <v>258.97210000000001</v>
      </c>
    </row>
    <row r="53" spans="1:9" x14ac:dyDescent="0.25">
      <c r="A53" s="2" t="s">
        <v>91</v>
      </c>
      <c r="B53" s="2"/>
      <c r="C53" s="43">
        <v>0.1</v>
      </c>
      <c r="D53" s="3">
        <f>-D52*C53</f>
        <v>-25.897210000000001</v>
      </c>
    </row>
    <row r="54" spans="1:9" x14ac:dyDescent="0.25">
      <c r="A54" s="2" t="s">
        <v>92</v>
      </c>
      <c r="B54" s="2"/>
      <c r="C54" s="43">
        <v>0.06</v>
      </c>
      <c r="D54" s="3">
        <f>-C48*C54</f>
        <v>-179.82981818181815</v>
      </c>
    </row>
    <row r="55" spans="1:9" x14ac:dyDescent="0.25">
      <c r="A55" s="12" t="s">
        <v>51</v>
      </c>
      <c r="B55" s="12"/>
      <c r="C55" s="12"/>
      <c r="D55" s="13">
        <f>SUM(D50:D54)</f>
        <v>3837.8414354545453</v>
      </c>
    </row>
    <row r="56" spans="1:9" x14ac:dyDescent="0.25">
      <c r="A56" s="2" t="s">
        <v>52</v>
      </c>
      <c r="B56" s="2"/>
      <c r="C56" s="2"/>
      <c r="D56" s="9">
        <f>D55/12</f>
        <v>319.82011962121209</v>
      </c>
    </row>
    <row r="57" spans="1:9" x14ac:dyDescent="0.25">
      <c r="A57" s="2" t="s">
        <v>53</v>
      </c>
      <c r="B57" s="2"/>
      <c r="C57" s="2"/>
      <c r="D57" s="3">
        <f>(D55/3)/12</f>
        <v>106.60670654040403</v>
      </c>
    </row>
    <row r="58" spans="1:9" x14ac:dyDescent="0.25">
      <c r="A58" s="12" t="s">
        <v>54</v>
      </c>
      <c r="B58" s="12"/>
      <c r="C58" s="12"/>
      <c r="D58" s="30">
        <f>D57+D56+D55</f>
        <v>4264.268261616161</v>
      </c>
      <c r="E58" s="10" t="s">
        <v>55</v>
      </c>
      <c r="F58" s="10"/>
      <c r="G58" s="10"/>
      <c r="H58" s="10"/>
      <c r="I58" s="29">
        <f>D50+D56+D57</f>
        <v>4023.0231897979797</v>
      </c>
    </row>
    <row r="60" spans="1:9" ht="30" x14ac:dyDescent="0.25">
      <c r="A60" s="17" t="s">
        <v>25</v>
      </c>
      <c r="B60" s="47" t="s">
        <v>26</v>
      </c>
      <c r="C60" s="48"/>
      <c r="D60" s="48"/>
      <c r="E60" s="48"/>
      <c r="F60" s="48"/>
      <c r="G60" s="49"/>
      <c r="H60" s="18" t="s">
        <v>27</v>
      </c>
      <c r="I60" s="18" t="s">
        <v>28</v>
      </c>
    </row>
    <row r="61" spans="1:9" x14ac:dyDescent="0.25">
      <c r="A61" s="19" t="s">
        <v>29</v>
      </c>
      <c r="B61" s="50" t="s">
        <v>30</v>
      </c>
      <c r="C61" s="51"/>
      <c r="D61" s="51"/>
      <c r="E61" s="51"/>
      <c r="F61" s="51"/>
      <c r="G61" s="52"/>
      <c r="H61" s="20">
        <v>0.2</v>
      </c>
      <c r="I61" s="21">
        <f>$I$58*H61</f>
        <v>804.60463795959595</v>
      </c>
    </row>
    <row r="62" spans="1:9" x14ac:dyDescent="0.25">
      <c r="A62" s="19" t="s">
        <v>31</v>
      </c>
      <c r="B62" s="50" t="s">
        <v>32</v>
      </c>
      <c r="C62" s="51"/>
      <c r="D62" s="51"/>
      <c r="E62" s="51"/>
      <c r="F62" s="51"/>
      <c r="G62" s="52"/>
      <c r="H62" s="20">
        <v>1.4999999999999999E-2</v>
      </c>
      <c r="I62" s="21">
        <f t="shared" ref="I62:I68" si="4">$I$58*H62</f>
        <v>60.345347846969695</v>
      </c>
    </row>
    <row r="63" spans="1:9" x14ac:dyDescent="0.25">
      <c r="A63" s="19" t="s">
        <v>33</v>
      </c>
      <c r="B63" s="50" t="s">
        <v>34</v>
      </c>
      <c r="C63" s="51"/>
      <c r="D63" s="51"/>
      <c r="E63" s="51"/>
      <c r="F63" s="51"/>
      <c r="G63" s="52"/>
      <c r="H63" s="20">
        <v>0.01</v>
      </c>
      <c r="I63" s="21">
        <f t="shared" si="4"/>
        <v>40.230231897979799</v>
      </c>
    </row>
    <row r="64" spans="1:9" x14ac:dyDescent="0.25">
      <c r="A64" s="19" t="s">
        <v>35</v>
      </c>
      <c r="B64" s="50" t="s">
        <v>36</v>
      </c>
      <c r="C64" s="51"/>
      <c r="D64" s="51"/>
      <c r="E64" s="51"/>
      <c r="F64" s="51"/>
      <c r="G64" s="52"/>
      <c r="H64" s="20">
        <v>2E-3</v>
      </c>
      <c r="I64" s="21">
        <f t="shared" si="4"/>
        <v>8.0460463795959605</v>
      </c>
    </row>
    <row r="65" spans="1:9" x14ac:dyDescent="0.25">
      <c r="A65" s="19" t="s">
        <v>37</v>
      </c>
      <c r="B65" s="57" t="s">
        <v>38</v>
      </c>
      <c r="C65" s="58"/>
      <c r="D65" s="58"/>
      <c r="E65" s="58"/>
      <c r="F65" s="58"/>
      <c r="G65" s="59"/>
      <c r="H65" s="20">
        <v>2.5000000000000001E-2</v>
      </c>
      <c r="I65" s="21">
        <f t="shared" si="4"/>
        <v>100.57557974494949</v>
      </c>
    </row>
    <row r="66" spans="1:9" x14ac:dyDescent="0.25">
      <c r="A66" s="19" t="s">
        <v>39</v>
      </c>
      <c r="B66" s="57" t="s">
        <v>40</v>
      </c>
      <c r="C66" s="58"/>
      <c r="D66" s="58"/>
      <c r="E66" s="58"/>
      <c r="F66" s="58"/>
      <c r="G66" s="59"/>
      <c r="H66" s="22">
        <v>0.08</v>
      </c>
      <c r="I66" s="21">
        <f t="shared" si="4"/>
        <v>321.84185518383839</v>
      </c>
    </row>
    <row r="67" spans="1:9" x14ac:dyDescent="0.25">
      <c r="A67" s="19" t="s">
        <v>41</v>
      </c>
      <c r="B67" s="60" t="s">
        <v>42</v>
      </c>
      <c r="C67" s="61"/>
      <c r="D67" s="23" t="s">
        <v>43</v>
      </c>
      <c r="E67" s="24">
        <v>0.03</v>
      </c>
      <c r="F67" s="23" t="s">
        <v>44</v>
      </c>
      <c r="G67" s="25">
        <v>1</v>
      </c>
      <c r="H67" s="26">
        <f>ROUND((E67*G67),6)</f>
        <v>0.03</v>
      </c>
      <c r="I67" s="21">
        <f t="shared" si="4"/>
        <v>120.69069569393939</v>
      </c>
    </row>
    <row r="68" spans="1:9" x14ac:dyDescent="0.25">
      <c r="A68" s="19" t="s">
        <v>45</v>
      </c>
      <c r="B68" s="57" t="s">
        <v>46</v>
      </c>
      <c r="C68" s="58"/>
      <c r="D68" s="58"/>
      <c r="E68" s="58"/>
      <c r="F68" s="58"/>
      <c r="G68" s="59"/>
      <c r="H68" s="20">
        <v>6.0000000000000001E-3</v>
      </c>
      <c r="I68" s="21">
        <f t="shared" si="4"/>
        <v>24.138139138787878</v>
      </c>
    </row>
    <row r="69" spans="1:9" x14ac:dyDescent="0.25">
      <c r="A69" s="54" t="s">
        <v>47</v>
      </c>
      <c r="B69" s="55"/>
      <c r="C69" s="55"/>
      <c r="D69" s="55"/>
      <c r="E69" s="55"/>
      <c r="F69" s="55"/>
      <c r="G69" s="56"/>
      <c r="H69" s="27">
        <f>SUM(H61:H68)</f>
        <v>0.3680000000000001</v>
      </c>
      <c r="I69" s="28">
        <f>TRUNC(SUM(I61:I68),2)</f>
        <v>1480.47</v>
      </c>
    </row>
    <row r="71" spans="1:9" x14ac:dyDescent="0.25">
      <c r="A71" s="32" t="s">
        <v>59</v>
      </c>
      <c r="B71" s="2"/>
      <c r="C71" s="2"/>
      <c r="D71" s="2"/>
      <c r="E71" s="2"/>
      <c r="F71" s="2"/>
      <c r="G71" s="2"/>
      <c r="H71" s="2"/>
      <c r="I71" s="13">
        <f>D58+I69</f>
        <v>5744.7382616161613</v>
      </c>
    </row>
    <row r="72" spans="1:9" x14ac:dyDescent="0.25">
      <c r="A72" s="33" t="s">
        <v>57</v>
      </c>
      <c r="B72" s="2"/>
      <c r="C72" s="2"/>
      <c r="D72" s="2"/>
      <c r="E72" s="2"/>
      <c r="F72" s="2"/>
      <c r="G72" s="2"/>
      <c r="H72" s="11">
        <v>1</v>
      </c>
      <c r="I72" s="13">
        <f>I71*H72</f>
        <v>5744.7382616161613</v>
      </c>
    </row>
    <row r="76" spans="1:9" x14ac:dyDescent="0.25">
      <c r="A76" s="35" t="s">
        <v>60</v>
      </c>
    </row>
    <row r="77" spans="1:9" x14ac:dyDescent="0.25">
      <c r="A77" s="36" t="s">
        <v>61</v>
      </c>
    </row>
    <row r="78" spans="1:9" x14ac:dyDescent="0.25">
      <c r="A78" s="36" t="s">
        <v>62</v>
      </c>
    </row>
    <row r="79" spans="1:9" x14ac:dyDescent="0.25">
      <c r="A79" s="36" t="s">
        <v>63</v>
      </c>
    </row>
    <row r="80" spans="1:9" x14ac:dyDescent="0.25">
      <c r="A80" s="36" t="s">
        <v>64</v>
      </c>
    </row>
    <row r="81" spans="1:1" x14ac:dyDescent="0.25">
      <c r="A81" s="36"/>
    </row>
    <row r="82" spans="1:1" x14ac:dyDescent="0.25">
      <c r="A82" s="36"/>
    </row>
    <row r="83" spans="1:1" x14ac:dyDescent="0.25">
      <c r="A83" s="36"/>
    </row>
    <row r="84" spans="1:1" x14ac:dyDescent="0.25">
      <c r="A84" s="37" t="s">
        <v>65</v>
      </c>
    </row>
    <row r="85" spans="1:1" x14ac:dyDescent="0.25">
      <c r="A85" s="38" t="s">
        <v>66</v>
      </c>
    </row>
    <row r="86" spans="1:1" x14ac:dyDescent="0.25">
      <c r="A86" s="38" t="s">
        <v>67</v>
      </c>
    </row>
    <row r="87" spans="1:1" x14ac:dyDescent="0.25">
      <c r="A87" s="38" t="s">
        <v>68</v>
      </c>
    </row>
    <row r="88" spans="1:1" x14ac:dyDescent="0.25">
      <c r="A88" s="38" t="s">
        <v>69</v>
      </c>
    </row>
    <row r="89" spans="1:1" x14ac:dyDescent="0.25">
      <c r="A89" s="38" t="s">
        <v>70</v>
      </c>
    </row>
    <row r="90" spans="1:1" x14ac:dyDescent="0.25">
      <c r="A90" s="38" t="s">
        <v>71</v>
      </c>
    </row>
    <row r="91" spans="1:1" x14ac:dyDescent="0.25">
      <c r="A91" s="39" t="s">
        <v>72</v>
      </c>
    </row>
  </sheetData>
  <mergeCells count="12">
    <mergeCell ref="A69:G69"/>
    <mergeCell ref="B64:G64"/>
    <mergeCell ref="B65:G65"/>
    <mergeCell ref="B66:G66"/>
    <mergeCell ref="B67:C67"/>
    <mergeCell ref="B68:G68"/>
    <mergeCell ref="A1:F1"/>
    <mergeCell ref="B60:G60"/>
    <mergeCell ref="B61:G61"/>
    <mergeCell ref="B62:G62"/>
    <mergeCell ref="B63:G63"/>
    <mergeCell ref="A45:I4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1"/>
  <sheetViews>
    <sheetView topLeftCell="A36" workbookViewId="0">
      <selection activeCell="A45" sqref="A45:I45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1.7109375" customWidth="1"/>
    <col min="5" max="5" width="10.7109375" customWidth="1"/>
    <col min="9" max="9" width="9.5703125" bestFit="1" customWidth="1"/>
  </cols>
  <sheetData>
    <row r="1" spans="1:6" x14ac:dyDescent="0.25">
      <c r="A1" s="46" t="s">
        <v>7</v>
      </c>
      <c r="B1" s="46"/>
      <c r="C1" s="46"/>
      <c r="D1" s="46"/>
      <c r="E1" s="46"/>
      <c r="F1" s="46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A3" s="44"/>
      <c r="B3" s="45" t="s">
        <v>94</v>
      </c>
      <c r="C3" s="44"/>
      <c r="D3" s="44">
        <v>7</v>
      </c>
      <c r="E3" s="44"/>
      <c r="F3" s="44"/>
    </row>
    <row r="4" spans="1:6" x14ac:dyDescent="0.25">
      <c r="A4" s="34"/>
      <c r="B4" s="45" t="s">
        <v>93</v>
      </c>
      <c r="C4" s="44"/>
      <c r="D4" s="44">
        <v>50</v>
      </c>
      <c r="E4" s="34"/>
      <c r="F4" s="34"/>
    </row>
    <row r="5" spans="1:6" x14ac:dyDescent="0.25">
      <c r="A5" s="34"/>
      <c r="B5" s="40" t="s">
        <v>73</v>
      </c>
      <c r="C5" s="34"/>
      <c r="D5" s="34">
        <f>D4*D3</f>
        <v>350</v>
      </c>
      <c r="E5" s="34"/>
      <c r="F5" s="34"/>
    </row>
    <row r="6" spans="1:6" x14ac:dyDescent="0.25">
      <c r="A6" s="34"/>
      <c r="B6" s="40" t="s">
        <v>74</v>
      </c>
      <c r="C6" s="34"/>
      <c r="D6" s="34">
        <v>20</v>
      </c>
      <c r="E6" s="34"/>
      <c r="F6" s="34"/>
    </row>
    <row r="7" spans="1:6" x14ac:dyDescent="0.25">
      <c r="A7" s="10" t="s">
        <v>85</v>
      </c>
      <c r="B7" t="s">
        <v>20</v>
      </c>
      <c r="D7">
        <f>D5*D6</f>
        <v>7000</v>
      </c>
    </row>
    <row r="9" spans="1:6" x14ac:dyDescent="0.25">
      <c r="A9" s="34" t="s">
        <v>9</v>
      </c>
      <c r="B9" s="7">
        <v>250000</v>
      </c>
      <c r="C9" s="34"/>
      <c r="D9" s="34"/>
      <c r="E9" s="34"/>
      <c r="F9" s="34"/>
    </row>
    <row r="10" spans="1:6" x14ac:dyDescent="0.25">
      <c r="A10" s="34" t="s">
        <v>75</v>
      </c>
      <c r="B10" s="7">
        <f>B9*20%</f>
        <v>50000</v>
      </c>
      <c r="C10" s="34"/>
      <c r="D10" s="34"/>
      <c r="E10" s="34"/>
      <c r="F10" s="34"/>
    </row>
    <row r="11" spans="1:6" x14ac:dyDescent="0.25">
      <c r="A11" s="34" t="s">
        <v>10</v>
      </c>
      <c r="B11" s="7">
        <f>B9-B10</f>
        <v>200000</v>
      </c>
      <c r="C11" s="34"/>
      <c r="D11" s="34"/>
      <c r="E11" s="34"/>
      <c r="F11" s="34"/>
    </row>
    <row r="12" spans="1:6" x14ac:dyDescent="0.25">
      <c r="A12" s="34" t="s">
        <v>11</v>
      </c>
      <c r="B12" s="7">
        <v>60</v>
      </c>
      <c r="C12" s="7">
        <f>B11/B12</f>
        <v>3333.3333333333335</v>
      </c>
      <c r="D12" s="34"/>
      <c r="E12" s="34"/>
      <c r="F12" s="34"/>
    </row>
    <row r="13" spans="1:6" x14ac:dyDescent="0.25">
      <c r="A13" s="34" t="s">
        <v>13</v>
      </c>
      <c r="B13" s="15">
        <v>0.13750000000000001</v>
      </c>
      <c r="C13" s="8">
        <f>B9*B13/12</f>
        <v>2864.5833333333335</v>
      </c>
      <c r="D13" s="34"/>
      <c r="E13" s="34"/>
      <c r="F13" s="34"/>
    </row>
    <row r="15" spans="1:6" x14ac:dyDescent="0.25">
      <c r="A15" s="1" t="s">
        <v>0</v>
      </c>
      <c r="B15" s="1" t="s">
        <v>8</v>
      </c>
      <c r="C15" s="1" t="s">
        <v>19</v>
      </c>
      <c r="D15" s="1" t="s">
        <v>1</v>
      </c>
    </row>
    <row r="16" spans="1:6" x14ac:dyDescent="0.25">
      <c r="A16" s="2" t="s">
        <v>2</v>
      </c>
      <c r="B16" s="2">
        <v>5.6</v>
      </c>
      <c r="C16" s="2">
        <v>4</v>
      </c>
      <c r="D16" s="3">
        <f t="shared" ref="D16:D24" si="0">B16/C16</f>
        <v>1.4</v>
      </c>
    </row>
    <row r="17" spans="1:4" x14ac:dyDescent="0.25">
      <c r="A17" s="2" t="s">
        <v>6</v>
      </c>
      <c r="B17" s="3">
        <v>500</v>
      </c>
      <c r="C17" s="2">
        <f>D7</f>
        <v>7000</v>
      </c>
      <c r="D17" s="3">
        <f t="shared" si="0"/>
        <v>7.1428571428571425E-2</v>
      </c>
    </row>
    <row r="18" spans="1:4" x14ac:dyDescent="0.25">
      <c r="A18" s="2" t="s">
        <v>87</v>
      </c>
      <c r="B18" s="3">
        <f>B9*2%</f>
        <v>5000</v>
      </c>
      <c r="C18" s="2">
        <f>C17*12</f>
        <v>84000</v>
      </c>
      <c r="D18" s="3">
        <f t="shared" si="0"/>
        <v>5.9523809523809521E-2</v>
      </c>
    </row>
    <row r="19" spans="1:4" x14ac:dyDescent="0.25">
      <c r="A19" s="2" t="s">
        <v>3</v>
      </c>
      <c r="B19" s="3">
        <v>800</v>
      </c>
      <c r="C19" s="2">
        <f>C17</f>
        <v>7000</v>
      </c>
      <c r="D19" s="3">
        <f t="shared" si="0"/>
        <v>0.11428571428571428</v>
      </c>
    </row>
    <row r="20" spans="1:4" x14ac:dyDescent="0.25">
      <c r="A20" s="2" t="s">
        <v>86</v>
      </c>
      <c r="B20" s="3">
        <f>6*1150</f>
        <v>6900</v>
      </c>
      <c r="C20" s="2">
        <v>70000</v>
      </c>
      <c r="D20" s="3">
        <f t="shared" si="0"/>
        <v>9.8571428571428574E-2</v>
      </c>
    </row>
    <row r="21" spans="1:4" x14ac:dyDescent="0.25">
      <c r="A21" s="2" t="s">
        <v>23</v>
      </c>
      <c r="B21" s="3">
        <v>400</v>
      </c>
      <c r="C21" s="2">
        <f>C19</f>
        <v>7000</v>
      </c>
      <c r="D21" s="3">
        <f t="shared" si="0"/>
        <v>5.7142857142857141E-2</v>
      </c>
    </row>
    <row r="22" spans="1:4" x14ac:dyDescent="0.25">
      <c r="A22" s="2" t="s">
        <v>4</v>
      </c>
      <c r="B22" s="3">
        <f>I72</f>
        <v>5744.7382616161613</v>
      </c>
      <c r="C22" s="2">
        <f>C19</f>
        <v>7000</v>
      </c>
      <c r="D22" s="3">
        <f t="shared" si="0"/>
        <v>0.82067689451659442</v>
      </c>
    </row>
    <row r="23" spans="1:4" x14ac:dyDescent="0.25">
      <c r="A23" s="2" t="s">
        <v>12</v>
      </c>
      <c r="B23" s="3">
        <f>C12</f>
        <v>3333.3333333333335</v>
      </c>
      <c r="C23" s="2">
        <f>C22</f>
        <v>7000</v>
      </c>
      <c r="D23" s="3">
        <f t="shared" si="0"/>
        <v>0.47619047619047622</v>
      </c>
    </row>
    <row r="24" spans="1:4" x14ac:dyDescent="0.25">
      <c r="A24" s="2" t="s">
        <v>14</v>
      </c>
      <c r="B24" s="9">
        <f>C13</f>
        <v>2864.5833333333335</v>
      </c>
      <c r="C24" s="2">
        <f>C23</f>
        <v>7000</v>
      </c>
      <c r="D24" s="3">
        <f t="shared" si="0"/>
        <v>0.40922619047619052</v>
      </c>
    </row>
    <row r="25" spans="1:4" x14ac:dyDescent="0.25">
      <c r="A25" s="4" t="s">
        <v>21</v>
      </c>
      <c r="B25" s="4"/>
      <c r="C25" s="4" t="s">
        <v>5</v>
      </c>
      <c r="D25" s="5">
        <f>SUM(D16:D24)</f>
        <v>3.5070459421356421</v>
      </c>
    </row>
    <row r="27" spans="1:4" x14ac:dyDescent="0.25">
      <c r="A27" s="2" t="s">
        <v>17</v>
      </c>
      <c r="B27" s="2"/>
      <c r="C27" s="11">
        <v>0.15</v>
      </c>
      <c r="D27" s="9">
        <f>D25*C27</f>
        <v>0.52605689132034628</v>
      </c>
    </row>
    <row r="28" spans="1:4" x14ac:dyDescent="0.25">
      <c r="A28" s="2" t="s">
        <v>18</v>
      </c>
      <c r="B28" s="2"/>
      <c r="C28" s="11">
        <v>0.15</v>
      </c>
      <c r="D28" s="9">
        <f>D25*C28</f>
        <v>0.52605689132034628</v>
      </c>
    </row>
    <row r="29" spans="1:4" x14ac:dyDescent="0.25">
      <c r="A29" s="12" t="s">
        <v>15</v>
      </c>
      <c r="B29" s="12"/>
      <c r="C29" s="12"/>
      <c r="D29" s="13">
        <f>D28+D27+D25</f>
        <v>4.5591597247763342</v>
      </c>
    </row>
    <row r="30" spans="1:4" x14ac:dyDescent="0.25">
      <c r="A30" s="2" t="s">
        <v>16</v>
      </c>
      <c r="B30" s="2"/>
      <c r="C30" s="14">
        <v>3.6499999999999998E-2</v>
      </c>
      <c r="D30" s="9">
        <f>D29*C30</f>
        <v>0.16640932995433619</v>
      </c>
    </row>
    <row r="31" spans="1:4" x14ac:dyDescent="0.25">
      <c r="A31" s="2" t="s">
        <v>95</v>
      </c>
      <c r="B31" s="2"/>
      <c r="C31" s="11"/>
      <c r="D31" s="9"/>
    </row>
    <row r="32" spans="1:4" x14ac:dyDescent="0.25">
      <c r="A32" s="2" t="s">
        <v>96</v>
      </c>
      <c r="B32" s="2"/>
      <c r="C32" s="11">
        <v>0.12</v>
      </c>
      <c r="D32" s="9">
        <f>D29*C32</f>
        <v>0.54709916697316008</v>
      </c>
    </row>
    <row r="33" spans="1:9" x14ac:dyDescent="0.25">
      <c r="A33" s="12" t="s">
        <v>22</v>
      </c>
      <c r="B33" s="12"/>
      <c r="C33" s="12"/>
      <c r="D33" s="13">
        <f>D29+D30+D32</f>
        <v>5.2726682217038308</v>
      </c>
    </row>
    <row r="35" spans="1:9" x14ac:dyDescent="0.25">
      <c r="A35" s="12" t="s">
        <v>81</v>
      </c>
      <c r="B35" s="2"/>
      <c r="C35" s="12" t="s">
        <v>82</v>
      </c>
      <c r="D35" s="12" t="s">
        <v>83</v>
      </c>
    </row>
    <row r="36" spans="1:9" x14ac:dyDescent="0.25">
      <c r="A36" s="41" t="s">
        <v>76</v>
      </c>
      <c r="B36" s="2"/>
      <c r="C36" s="2">
        <f>63.8*2</f>
        <v>127.6</v>
      </c>
      <c r="D36" s="9">
        <f>C36*D$33</f>
        <v>672.79246508940878</v>
      </c>
    </row>
    <row r="37" spans="1:9" x14ac:dyDescent="0.25">
      <c r="A37" s="41" t="s">
        <v>77</v>
      </c>
      <c r="B37" s="2"/>
      <c r="C37" s="2">
        <f>389*2</f>
        <v>778</v>
      </c>
      <c r="D37" s="9">
        <f t="shared" ref="D37:D42" si="1">C37*D$33</f>
        <v>4102.1358764855804</v>
      </c>
    </row>
    <row r="38" spans="1:9" x14ac:dyDescent="0.25">
      <c r="A38" s="41" t="s">
        <v>78</v>
      </c>
      <c r="B38" s="2"/>
      <c r="C38" s="2">
        <f>138*2</f>
        <v>276</v>
      </c>
      <c r="D38" s="9">
        <f t="shared" si="1"/>
        <v>1455.2564291902572</v>
      </c>
    </row>
    <row r="39" spans="1:9" x14ac:dyDescent="0.25">
      <c r="A39" s="41" t="s">
        <v>79</v>
      </c>
      <c r="B39" s="2"/>
      <c r="C39" s="2">
        <f>245*2</f>
        <v>490</v>
      </c>
      <c r="D39" s="9">
        <f t="shared" si="1"/>
        <v>2583.6074286348771</v>
      </c>
    </row>
    <row r="40" spans="1:9" x14ac:dyDescent="0.25">
      <c r="A40" s="42" t="s">
        <v>80</v>
      </c>
      <c r="B40" s="2"/>
      <c r="C40" s="2">
        <f>105*2</f>
        <v>210</v>
      </c>
      <c r="D40" s="9">
        <f t="shared" si="1"/>
        <v>1107.2603265578045</v>
      </c>
    </row>
    <row r="41" spans="1:9" x14ac:dyDescent="0.25">
      <c r="A41" s="42" t="s">
        <v>98</v>
      </c>
      <c r="B41" s="2"/>
      <c r="C41" s="2">
        <v>400</v>
      </c>
      <c r="D41" s="9">
        <f t="shared" si="1"/>
        <v>2109.0672886815323</v>
      </c>
    </row>
    <row r="42" spans="1:9" x14ac:dyDescent="0.25">
      <c r="A42" s="42" t="s">
        <v>97</v>
      </c>
      <c r="B42" s="2"/>
      <c r="C42" s="2">
        <v>640</v>
      </c>
      <c r="D42" s="9">
        <f t="shared" si="1"/>
        <v>3374.5076618904518</v>
      </c>
    </row>
    <row r="45" spans="1:9" ht="28.5" customHeight="1" x14ac:dyDescent="0.25">
      <c r="A45" s="53"/>
      <c r="B45" s="53"/>
      <c r="C45" s="53"/>
      <c r="D45" s="53"/>
      <c r="E45" s="53"/>
      <c r="F45" s="53"/>
      <c r="G45" s="53"/>
      <c r="H45" s="53"/>
      <c r="I45" s="53"/>
    </row>
    <row r="46" spans="1:9" x14ac:dyDescent="0.25">
      <c r="A46" s="10" t="s">
        <v>58</v>
      </c>
      <c r="D46" s="16"/>
    </row>
    <row r="47" spans="1:9" x14ac:dyDescent="0.25">
      <c r="A47" s="12" t="s">
        <v>89</v>
      </c>
      <c r="B47" s="2"/>
      <c r="C47" s="3">
        <v>3296.88</v>
      </c>
      <c r="D47" s="9">
        <v>220</v>
      </c>
    </row>
    <row r="48" spans="1:9" x14ac:dyDescent="0.25">
      <c r="A48" s="2" t="s">
        <v>90</v>
      </c>
      <c r="B48" s="2"/>
      <c r="C48" s="3">
        <f>C47/D47*200</f>
        <v>2997.1636363636362</v>
      </c>
      <c r="D48" s="9"/>
    </row>
    <row r="49" spans="1:9" x14ac:dyDescent="0.25">
      <c r="A49" s="2" t="s">
        <v>48</v>
      </c>
      <c r="B49" s="11">
        <v>0.2</v>
      </c>
      <c r="C49" s="9">
        <f>C48*B49</f>
        <v>599.43272727272722</v>
      </c>
      <c r="D49" s="2"/>
    </row>
    <row r="50" spans="1:9" x14ac:dyDescent="0.25">
      <c r="A50" s="31" t="s">
        <v>56</v>
      </c>
      <c r="B50" s="11"/>
      <c r="C50" s="9"/>
      <c r="D50" s="13">
        <f>C49+C48</f>
        <v>3596.5963636363635</v>
      </c>
    </row>
    <row r="51" spans="1:9" x14ac:dyDescent="0.25">
      <c r="A51" s="2" t="s">
        <v>49</v>
      </c>
      <c r="B51" s="2">
        <v>20</v>
      </c>
      <c r="C51" s="3">
        <v>9.4</v>
      </c>
      <c r="D51" s="3">
        <f>C51*B51</f>
        <v>188</v>
      </c>
    </row>
    <row r="52" spans="1:9" x14ac:dyDescent="0.25">
      <c r="A52" s="2" t="s">
        <v>50</v>
      </c>
      <c r="B52" s="2">
        <v>1</v>
      </c>
      <c r="C52" s="3">
        <f>242.03*1.07</f>
        <v>258.97210000000001</v>
      </c>
      <c r="D52" s="3">
        <f>B52*C52</f>
        <v>258.97210000000001</v>
      </c>
    </row>
    <row r="53" spans="1:9" x14ac:dyDescent="0.25">
      <c r="A53" s="2" t="s">
        <v>91</v>
      </c>
      <c r="B53" s="2"/>
      <c r="C53" s="43">
        <v>0.1</v>
      </c>
      <c r="D53" s="3">
        <f>-D52*C53</f>
        <v>-25.897210000000001</v>
      </c>
    </row>
    <row r="54" spans="1:9" x14ac:dyDescent="0.25">
      <c r="A54" s="2" t="s">
        <v>92</v>
      </c>
      <c r="B54" s="2"/>
      <c r="C54" s="43">
        <v>0.06</v>
      </c>
      <c r="D54" s="3">
        <f>-C48*C54</f>
        <v>-179.82981818181815</v>
      </c>
    </row>
    <row r="55" spans="1:9" x14ac:dyDescent="0.25">
      <c r="A55" s="12" t="s">
        <v>51</v>
      </c>
      <c r="B55" s="12"/>
      <c r="C55" s="12"/>
      <c r="D55" s="13">
        <f>SUM(D50:D54)</f>
        <v>3837.8414354545453</v>
      </c>
    </row>
    <row r="56" spans="1:9" x14ac:dyDescent="0.25">
      <c r="A56" s="2" t="s">
        <v>52</v>
      </c>
      <c r="B56" s="2"/>
      <c r="C56" s="2"/>
      <c r="D56" s="9">
        <f>D55/12</f>
        <v>319.82011962121209</v>
      </c>
    </row>
    <row r="57" spans="1:9" x14ac:dyDescent="0.25">
      <c r="A57" s="2" t="s">
        <v>53</v>
      </c>
      <c r="B57" s="2"/>
      <c r="C57" s="2"/>
      <c r="D57" s="3">
        <f>(D55/3)/12</f>
        <v>106.60670654040403</v>
      </c>
    </row>
    <row r="58" spans="1:9" x14ac:dyDescent="0.25">
      <c r="A58" s="12" t="s">
        <v>54</v>
      </c>
      <c r="B58" s="12"/>
      <c r="C58" s="12"/>
      <c r="D58" s="30">
        <f>D57+D56+D55</f>
        <v>4264.268261616161</v>
      </c>
      <c r="E58" s="10" t="s">
        <v>55</v>
      </c>
      <c r="F58" s="10"/>
      <c r="G58" s="10"/>
      <c r="H58" s="10"/>
      <c r="I58" s="29">
        <f>D50+D56+D57</f>
        <v>4023.0231897979797</v>
      </c>
    </row>
    <row r="60" spans="1:9" ht="30" x14ac:dyDescent="0.25">
      <c r="A60" s="17" t="s">
        <v>25</v>
      </c>
      <c r="B60" s="47" t="s">
        <v>26</v>
      </c>
      <c r="C60" s="48"/>
      <c r="D60" s="48"/>
      <c r="E60" s="48"/>
      <c r="F60" s="48"/>
      <c r="G60" s="49"/>
      <c r="H60" s="18" t="s">
        <v>27</v>
      </c>
      <c r="I60" s="18" t="s">
        <v>28</v>
      </c>
    </row>
    <row r="61" spans="1:9" x14ac:dyDescent="0.25">
      <c r="A61" s="19" t="s">
        <v>29</v>
      </c>
      <c r="B61" s="50" t="s">
        <v>30</v>
      </c>
      <c r="C61" s="51"/>
      <c r="D61" s="51"/>
      <c r="E61" s="51"/>
      <c r="F61" s="51"/>
      <c r="G61" s="52"/>
      <c r="H61" s="20">
        <v>0.2</v>
      </c>
      <c r="I61" s="21">
        <f>$I$58*H61</f>
        <v>804.60463795959595</v>
      </c>
    </row>
    <row r="62" spans="1:9" x14ac:dyDescent="0.25">
      <c r="A62" s="19" t="s">
        <v>31</v>
      </c>
      <c r="B62" s="50" t="s">
        <v>32</v>
      </c>
      <c r="C62" s="51"/>
      <c r="D62" s="51"/>
      <c r="E62" s="51"/>
      <c r="F62" s="51"/>
      <c r="G62" s="52"/>
      <c r="H62" s="20">
        <v>1.4999999999999999E-2</v>
      </c>
      <c r="I62" s="21">
        <f t="shared" ref="I62:I68" si="2">$I$58*H62</f>
        <v>60.345347846969695</v>
      </c>
    </row>
    <row r="63" spans="1:9" x14ac:dyDescent="0.25">
      <c r="A63" s="19" t="s">
        <v>33</v>
      </c>
      <c r="B63" s="50" t="s">
        <v>34</v>
      </c>
      <c r="C63" s="51"/>
      <c r="D63" s="51"/>
      <c r="E63" s="51"/>
      <c r="F63" s="51"/>
      <c r="G63" s="52"/>
      <c r="H63" s="20">
        <v>0.01</v>
      </c>
      <c r="I63" s="21">
        <f t="shared" si="2"/>
        <v>40.230231897979799</v>
      </c>
    </row>
    <row r="64" spans="1:9" x14ac:dyDescent="0.25">
      <c r="A64" s="19" t="s">
        <v>35</v>
      </c>
      <c r="B64" s="50" t="s">
        <v>36</v>
      </c>
      <c r="C64" s="51"/>
      <c r="D64" s="51"/>
      <c r="E64" s="51"/>
      <c r="F64" s="51"/>
      <c r="G64" s="52"/>
      <c r="H64" s="20">
        <v>2E-3</v>
      </c>
      <c r="I64" s="21">
        <f t="shared" si="2"/>
        <v>8.0460463795959605</v>
      </c>
    </row>
    <row r="65" spans="1:9" x14ac:dyDescent="0.25">
      <c r="A65" s="19" t="s">
        <v>37</v>
      </c>
      <c r="B65" s="57" t="s">
        <v>38</v>
      </c>
      <c r="C65" s="58"/>
      <c r="D65" s="58"/>
      <c r="E65" s="58"/>
      <c r="F65" s="58"/>
      <c r="G65" s="59"/>
      <c r="H65" s="20">
        <v>2.5000000000000001E-2</v>
      </c>
      <c r="I65" s="21">
        <f t="shared" si="2"/>
        <v>100.57557974494949</v>
      </c>
    </row>
    <row r="66" spans="1:9" x14ac:dyDescent="0.25">
      <c r="A66" s="19" t="s">
        <v>39</v>
      </c>
      <c r="B66" s="57" t="s">
        <v>40</v>
      </c>
      <c r="C66" s="58"/>
      <c r="D66" s="58"/>
      <c r="E66" s="58"/>
      <c r="F66" s="58"/>
      <c r="G66" s="59"/>
      <c r="H66" s="22">
        <v>0.08</v>
      </c>
      <c r="I66" s="21">
        <f t="shared" si="2"/>
        <v>321.84185518383839</v>
      </c>
    </row>
    <row r="67" spans="1:9" x14ac:dyDescent="0.25">
      <c r="A67" s="19" t="s">
        <v>41</v>
      </c>
      <c r="B67" s="60" t="s">
        <v>42</v>
      </c>
      <c r="C67" s="61"/>
      <c r="D67" s="23" t="s">
        <v>43</v>
      </c>
      <c r="E67" s="24">
        <v>0.03</v>
      </c>
      <c r="F67" s="23" t="s">
        <v>44</v>
      </c>
      <c r="G67" s="25">
        <v>1</v>
      </c>
      <c r="H67" s="26">
        <f>ROUND((E67*G67),6)</f>
        <v>0.03</v>
      </c>
      <c r="I67" s="21">
        <f t="shared" si="2"/>
        <v>120.69069569393939</v>
      </c>
    </row>
    <row r="68" spans="1:9" x14ac:dyDescent="0.25">
      <c r="A68" s="19" t="s">
        <v>45</v>
      </c>
      <c r="B68" s="57" t="s">
        <v>46</v>
      </c>
      <c r="C68" s="58"/>
      <c r="D68" s="58"/>
      <c r="E68" s="58"/>
      <c r="F68" s="58"/>
      <c r="G68" s="59"/>
      <c r="H68" s="20">
        <v>6.0000000000000001E-3</v>
      </c>
      <c r="I68" s="21">
        <f t="shared" si="2"/>
        <v>24.138139138787878</v>
      </c>
    </row>
    <row r="69" spans="1:9" x14ac:dyDescent="0.25">
      <c r="A69" s="54" t="s">
        <v>47</v>
      </c>
      <c r="B69" s="55"/>
      <c r="C69" s="55"/>
      <c r="D69" s="55"/>
      <c r="E69" s="55"/>
      <c r="F69" s="55"/>
      <c r="G69" s="56"/>
      <c r="H69" s="27">
        <f>SUM(H61:H68)</f>
        <v>0.3680000000000001</v>
      </c>
      <c r="I69" s="28">
        <f>TRUNC(SUM(I61:I68),2)</f>
        <v>1480.47</v>
      </c>
    </row>
    <row r="71" spans="1:9" x14ac:dyDescent="0.25">
      <c r="A71" s="32" t="s">
        <v>59</v>
      </c>
      <c r="B71" s="2"/>
      <c r="C71" s="2"/>
      <c r="D71" s="2"/>
      <c r="E71" s="2"/>
      <c r="F71" s="2"/>
      <c r="G71" s="2"/>
      <c r="H71" s="2"/>
      <c r="I71" s="13">
        <f>D58+I69</f>
        <v>5744.7382616161613</v>
      </c>
    </row>
    <row r="72" spans="1:9" x14ac:dyDescent="0.25">
      <c r="A72" s="33" t="s">
        <v>57</v>
      </c>
      <c r="B72" s="2"/>
      <c r="C72" s="2"/>
      <c r="D72" s="2"/>
      <c r="E72" s="2"/>
      <c r="F72" s="2"/>
      <c r="G72" s="2"/>
      <c r="H72" s="11">
        <v>1</v>
      </c>
      <c r="I72" s="13">
        <f>I71*H72</f>
        <v>5744.7382616161613</v>
      </c>
    </row>
    <row r="76" spans="1:9" x14ac:dyDescent="0.25">
      <c r="A76" s="35" t="s">
        <v>60</v>
      </c>
    </row>
    <row r="77" spans="1:9" x14ac:dyDescent="0.25">
      <c r="A77" s="36" t="s">
        <v>61</v>
      </c>
    </row>
    <row r="78" spans="1:9" x14ac:dyDescent="0.25">
      <c r="A78" s="36" t="s">
        <v>62</v>
      </c>
    </row>
    <row r="79" spans="1:9" x14ac:dyDescent="0.25">
      <c r="A79" s="36" t="s">
        <v>63</v>
      </c>
    </row>
    <row r="80" spans="1:9" x14ac:dyDescent="0.25">
      <c r="A80" s="36" t="s">
        <v>64</v>
      </c>
    </row>
    <row r="81" spans="1:1" x14ac:dyDescent="0.25">
      <c r="A81" s="36"/>
    </row>
    <row r="82" spans="1:1" x14ac:dyDescent="0.25">
      <c r="A82" s="36"/>
    </row>
    <row r="83" spans="1:1" x14ac:dyDescent="0.25">
      <c r="A83" s="36"/>
    </row>
    <row r="84" spans="1:1" x14ac:dyDescent="0.25">
      <c r="A84" s="37" t="s">
        <v>65</v>
      </c>
    </row>
    <row r="85" spans="1:1" x14ac:dyDescent="0.25">
      <c r="A85" s="38" t="s">
        <v>66</v>
      </c>
    </row>
    <row r="86" spans="1:1" x14ac:dyDescent="0.25">
      <c r="A86" s="38" t="s">
        <v>67</v>
      </c>
    </row>
    <row r="87" spans="1:1" x14ac:dyDescent="0.25">
      <c r="A87" s="38" t="s">
        <v>68</v>
      </c>
    </row>
    <row r="88" spans="1:1" x14ac:dyDescent="0.25">
      <c r="A88" s="38" t="s">
        <v>69</v>
      </c>
    </row>
    <row r="89" spans="1:1" x14ac:dyDescent="0.25">
      <c r="A89" s="38" t="s">
        <v>70</v>
      </c>
    </row>
    <row r="90" spans="1:1" x14ac:dyDescent="0.25">
      <c r="A90" s="38" t="s">
        <v>71</v>
      </c>
    </row>
    <row r="91" spans="1:1" x14ac:dyDescent="0.25">
      <c r="A91" s="39" t="s">
        <v>72</v>
      </c>
    </row>
  </sheetData>
  <mergeCells count="12">
    <mergeCell ref="B65:G65"/>
    <mergeCell ref="B66:G66"/>
    <mergeCell ref="B67:C67"/>
    <mergeCell ref="B68:G68"/>
    <mergeCell ref="A69:G69"/>
    <mergeCell ref="B64:G64"/>
    <mergeCell ref="A1:F1"/>
    <mergeCell ref="B60:G60"/>
    <mergeCell ref="B61:G61"/>
    <mergeCell ref="B62:G62"/>
    <mergeCell ref="B63:G63"/>
    <mergeCell ref="A45:I45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1"/>
  <sheetViews>
    <sheetView tabSelected="1" topLeftCell="A38" workbookViewId="0">
      <selection activeCell="F55" sqref="F55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1.7109375" customWidth="1"/>
    <col min="5" max="5" width="10.7109375" customWidth="1"/>
    <col min="9" max="9" width="9.5703125" bestFit="1" customWidth="1"/>
  </cols>
  <sheetData>
    <row r="1" spans="1:6" x14ac:dyDescent="0.25">
      <c r="A1" s="46" t="s">
        <v>7</v>
      </c>
      <c r="B1" s="46"/>
      <c r="C1" s="46"/>
      <c r="D1" s="46"/>
      <c r="E1" s="46"/>
      <c r="F1" s="46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A3" s="44"/>
      <c r="B3" s="45" t="s">
        <v>94</v>
      </c>
      <c r="C3" s="44"/>
      <c r="D3" s="44">
        <v>7</v>
      </c>
      <c r="E3" s="44"/>
      <c r="F3" s="44"/>
    </row>
    <row r="4" spans="1:6" x14ac:dyDescent="0.25">
      <c r="A4" s="34"/>
      <c r="B4" s="45" t="s">
        <v>93</v>
      </c>
      <c r="C4" s="44"/>
      <c r="D4" s="44">
        <v>50</v>
      </c>
      <c r="E4" s="34"/>
      <c r="F4" s="34"/>
    </row>
    <row r="5" spans="1:6" x14ac:dyDescent="0.25">
      <c r="A5" s="34"/>
      <c r="B5" s="40" t="s">
        <v>73</v>
      </c>
      <c r="C5" s="34"/>
      <c r="D5" s="34">
        <f>D3*D4</f>
        <v>350</v>
      </c>
      <c r="E5" s="34"/>
      <c r="F5" s="34"/>
    </row>
    <row r="6" spans="1:6" x14ac:dyDescent="0.25">
      <c r="A6" s="34"/>
      <c r="B6" s="40" t="s">
        <v>74</v>
      </c>
      <c r="C6" s="34"/>
      <c r="D6" s="34">
        <v>20</v>
      </c>
      <c r="E6" s="34"/>
      <c r="F6" s="34"/>
    </row>
    <row r="7" spans="1:6" x14ac:dyDescent="0.25">
      <c r="A7" s="10" t="s">
        <v>88</v>
      </c>
      <c r="B7" t="s">
        <v>20</v>
      </c>
      <c r="D7">
        <f>D5*D6</f>
        <v>7000</v>
      </c>
    </row>
    <row r="9" spans="1:6" x14ac:dyDescent="0.25">
      <c r="A9" s="34" t="s">
        <v>9</v>
      </c>
      <c r="B9" s="7">
        <v>400000</v>
      </c>
      <c r="C9" s="34"/>
      <c r="D9" s="34"/>
      <c r="E9" s="34"/>
      <c r="F9" s="34"/>
    </row>
    <row r="10" spans="1:6" x14ac:dyDescent="0.25">
      <c r="A10" s="34" t="s">
        <v>75</v>
      </c>
      <c r="B10" s="7">
        <f>B9*20%</f>
        <v>80000</v>
      </c>
      <c r="C10" s="34"/>
      <c r="D10" s="34"/>
      <c r="E10" s="34"/>
      <c r="F10" s="34"/>
    </row>
    <row r="11" spans="1:6" x14ac:dyDescent="0.25">
      <c r="A11" s="34" t="s">
        <v>10</v>
      </c>
      <c r="B11" s="7">
        <f>B9-B10</f>
        <v>320000</v>
      </c>
      <c r="C11" s="34"/>
      <c r="D11" s="34"/>
      <c r="E11" s="34"/>
      <c r="F11" s="34"/>
    </row>
    <row r="12" spans="1:6" x14ac:dyDescent="0.25">
      <c r="A12" s="34" t="s">
        <v>11</v>
      </c>
      <c r="B12" s="7">
        <v>60</v>
      </c>
      <c r="C12" s="7">
        <f>B11/B12</f>
        <v>5333.333333333333</v>
      </c>
      <c r="D12" s="34"/>
      <c r="E12" s="34"/>
      <c r="F12" s="34"/>
    </row>
    <row r="13" spans="1:6" x14ac:dyDescent="0.25">
      <c r="A13" s="34" t="s">
        <v>13</v>
      </c>
      <c r="B13" s="15">
        <v>0.13750000000000001</v>
      </c>
      <c r="C13" s="8">
        <f>B9*B13/12</f>
        <v>4583.3333333333339</v>
      </c>
      <c r="D13" s="34"/>
      <c r="E13" s="34"/>
      <c r="F13" s="34"/>
    </row>
    <row r="15" spans="1:6" x14ac:dyDescent="0.25">
      <c r="A15" s="1" t="s">
        <v>0</v>
      </c>
      <c r="B15" s="1" t="s">
        <v>8</v>
      </c>
      <c r="C15" s="1" t="s">
        <v>19</v>
      </c>
      <c r="D15" s="1" t="s">
        <v>1</v>
      </c>
    </row>
    <row r="16" spans="1:6" x14ac:dyDescent="0.25">
      <c r="A16" s="2" t="s">
        <v>2</v>
      </c>
      <c r="B16" s="2">
        <v>5.6</v>
      </c>
      <c r="C16" s="2">
        <v>4</v>
      </c>
      <c r="D16" s="3">
        <f t="shared" ref="D16:D24" si="0">B16/C16</f>
        <v>1.4</v>
      </c>
    </row>
    <row r="17" spans="1:4" x14ac:dyDescent="0.25">
      <c r="A17" s="2" t="s">
        <v>6</v>
      </c>
      <c r="B17" s="3">
        <v>700</v>
      </c>
      <c r="C17" s="2">
        <f>D7</f>
        <v>7000</v>
      </c>
      <c r="D17" s="3">
        <f t="shared" si="0"/>
        <v>0.1</v>
      </c>
    </row>
    <row r="18" spans="1:4" x14ac:dyDescent="0.25">
      <c r="A18" s="2" t="s">
        <v>87</v>
      </c>
      <c r="B18" s="3">
        <f>B9*2%</f>
        <v>8000</v>
      </c>
      <c r="C18" s="2">
        <f>C17*12</f>
        <v>84000</v>
      </c>
      <c r="D18" s="3">
        <f t="shared" si="0"/>
        <v>9.5238095238095233E-2</v>
      </c>
    </row>
    <row r="19" spans="1:4" x14ac:dyDescent="0.25">
      <c r="A19" s="2" t="s">
        <v>3</v>
      </c>
      <c r="B19" s="3">
        <v>900</v>
      </c>
      <c r="C19" s="2">
        <f>C17</f>
        <v>7000</v>
      </c>
      <c r="D19" s="3">
        <f t="shared" si="0"/>
        <v>0.12857142857142856</v>
      </c>
    </row>
    <row r="20" spans="1:4" x14ac:dyDescent="0.25">
      <c r="A20" s="2" t="s">
        <v>86</v>
      </c>
      <c r="B20" s="3">
        <f>6*1950</f>
        <v>11700</v>
      </c>
      <c r="C20" s="2">
        <v>70000</v>
      </c>
      <c r="D20" s="3">
        <f t="shared" si="0"/>
        <v>0.16714285714285715</v>
      </c>
    </row>
    <row r="21" spans="1:4" x14ac:dyDescent="0.25">
      <c r="A21" s="2" t="s">
        <v>23</v>
      </c>
      <c r="B21" s="3">
        <v>600</v>
      </c>
      <c r="C21" s="2">
        <f>C19</f>
        <v>7000</v>
      </c>
      <c r="D21" s="3">
        <f t="shared" si="0"/>
        <v>8.5714285714285715E-2</v>
      </c>
    </row>
    <row r="22" spans="1:4" x14ac:dyDescent="0.25">
      <c r="A22" s="2" t="s">
        <v>4</v>
      </c>
      <c r="B22" s="3">
        <f>I72</f>
        <v>5744.7382616161613</v>
      </c>
      <c r="C22" s="2">
        <f>C19</f>
        <v>7000</v>
      </c>
      <c r="D22" s="3">
        <f t="shared" si="0"/>
        <v>0.82067689451659442</v>
      </c>
    </row>
    <row r="23" spans="1:4" x14ac:dyDescent="0.25">
      <c r="A23" s="2" t="s">
        <v>12</v>
      </c>
      <c r="B23" s="3">
        <f>C12</f>
        <v>5333.333333333333</v>
      </c>
      <c r="C23" s="2">
        <f>C22</f>
        <v>7000</v>
      </c>
      <c r="D23" s="3">
        <f t="shared" si="0"/>
        <v>0.76190476190476186</v>
      </c>
    </row>
    <row r="24" spans="1:4" x14ac:dyDescent="0.25">
      <c r="A24" s="2" t="s">
        <v>14</v>
      </c>
      <c r="B24" s="9">
        <f>C13</f>
        <v>4583.3333333333339</v>
      </c>
      <c r="C24" s="2">
        <f>C23</f>
        <v>7000</v>
      </c>
      <c r="D24" s="3">
        <f t="shared" si="0"/>
        <v>0.65476190476190488</v>
      </c>
    </row>
    <row r="25" spans="1:4" x14ac:dyDescent="0.25">
      <c r="A25" s="4" t="s">
        <v>21</v>
      </c>
      <c r="B25" s="4"/>
      <c r="C25" s="4" t="s">
        <v>5</v>
      </c>
      <c r="D25" s="5">
        <f>SUM(D16:D24)</f>
        <v>4.2140102278499283</v>
      </c>
    </row>
    <row r="27" spans="1:4" x14ac:dyDescent="0.25">
      <c r="A27" s="2" t="s">
        <v>17</v>
      </c>
      <c r="B27" s="2"/>
      <c r="C27" s="11">
        <v>0.15</v>
      </c>
      <c r="D27" s="9">
        <f>D25*C27</f>
        <v>0.63210153417748927</v>
      </c>
    </row>
    <row r="28" spans="1:4" x14ac:dyDescent="0.25">
      <c r="A28" s="2" t="s">
        <v>18</v>
      </c>
      <c r="B28" s="2"/>
      <c r="C28" s="11">
        <v>0.15</v>
      </c>
      <c r="D28" s="9">
        <f>D25*C28</f>
        <v>0.63210153417748927</v>
      </c>
    </row>
    <row r="29" spans="1:4" x14ac:dyDescent="0.25">
      <c r="A29" s="12" t="s">
        <v>15</v>
      </c>
      <c r="B29" s="12"/>
      <c r="C29" s="12"/>
      <c r="D29" s="13">
        <f>D28+D27+D25</f>
        <v>5.478213296204907</v>
      </c>
    </row>
    <row r="30" spans="1:4" x14ac:dyDescent="0.25">
      <c r="A30" s="2" t="s">
        <v>16</v>
      </c>
      <c r="B30" s="2"/>
      <c r="C30" s="14">
        <v>3.6499999999999998E-2</v>
      </c>
      <c r="D30" s="9">
        <f>D29*C30</f>
        <v>0.19995478531147909</v>
      </c>
    </row>
    <row r="31" spans="1:4" x14ac:dyDescent="0.25">
      <c r="A31" s="2" t="s">
        <v>95</v>
      </c>
      <c r="B31" s="2"/>
      <c r="C31" s="11"/>
      <c r="D31" s="9"/>
    </row>
    <row r="32" spans="1:4" x14ac:dyDescent="0.25">
      <c r="A32" s="2" t="s">
        <v>96</v>
      </c>
      <c r="B32" s="2"/>
      <c r="C32" s="11">
        <v>0.12</v>
      </c>
      <c r="D32" s="9">
        <f>D29*C32</f>
        <v>0.65738559554458886</v>
      </c>
    </row>
    <row r="33" spans="1:9" x14ac:dyDescent="0.25">
      <c r="A33" s="12" t="s">
        <v>22</v>
      </c>
      <c r="B33" s="12"/>
      <c r="C33" s="12"/>
      <c r="D33" s="13">
        <f>D29+D30+D32</f>
        <v>6.3355536770609753</v>
      </c>
    </row>
    <row r="35" spans="1:9" x14ac:dyDescent="0.25">
      <c r="A35" s="12" t="s">
        <v>81</v>
      </c>
      <c r="B35" s="2"/>
      <c r="C35" s="12" t="s">
        <v>82</v>
      </c>
      <c r="D35" s="12" t="s">
        <v>83</v>
      </c>
    </row>
    <row r="36" spans="1:9" x14ac:dyDescent="0.25">
      <c r="A36" s="41" t="s">
        <v>76</v>
      </c>
      <c r="B36" s="2"/>
      <c r="C36" s="2">
        <f>63.8*2</f>
        <v>127.6</v>
      </c>
      <c r="D36" s="9">
        <f>C36*D$33</f>
        <v>808.41664919298046</v>
      </c>
    </row>
    <row r="37" spans="1:9" x14ac:dyDescent="0.25">
      <c r="A37" s="41" t="s">
        <v>77</v>
      </c>
      <c r="B37" s="2"/>
      <c r="C37" s="2">
        <f>389*2</f>
        <v>778</v>
      </c>
      <c r="D37" s="9">
        <f t="shared" ref="D37:D42" si="1">C37*D$33</f>
        <v>4929.0607607534384</v>
      </c>
    </row>
    <row r="38" spans="1:9" x14ac:dyDescent="0.25">
      <c r="A38" s="41" t="s">
        <v>78</v>
      </c>
      <c r="B38" s="2"/>
      <c r="C38" s="2">
        <f>138*2</f>
        <v>276</v>
      </c>
      <c r="D38" s="9">
        <f t="shared" si="1"/>
        <v>1748.6128148688292</v>
      </c>
    </row>
    <row r="39" spans="1:9" x14ac:dyDescent="0.25">
      <c r="A39" s="41" t="s">
        <v>79</v>
      </c>
      <c r="B39" s="2"/>
      <c r="C39" s="2">
        <f>245*2</f>
        <v>490</v>
      </c>
      <c r="D39" s="9">
        <f t="shared" si="1"/>
        <v>3104.4213017598777</v>
      </c>
    </row>
    <row r="40" spans="1:9" x14ac:dyDescent="0.25">
      <c r="A40" s="42" t="s">
        <v>80</v>
      </c>
      <c r="B40" s="2"/>
      <c r="C40" s="2">
        <f>105*2</f>
        <v>210</v>
      </c>
      <c r="D40" s="9">
        <f t="shared" si="1"/>
        <v>1330.4662721828049</v>
      </c>
    </row>
    <row r="41" spans="1:9" x14ac:dyDescent="0.25">
      <c r="A41" s="42" t="s">
        <v>98</v>
      </c>
      <c r="B41" s="2"/>
      <c r="C41" s="2">
        <v>400</v>
      </c>
      <c r="D41" s="9">
        <f t="shared" si="1"/>
        <v>2534.2214708243901</v>
      </c>
    </row>
    <row r="42" spans="1:9" x14ac:dyDescent="0.25">
      <c r="A42" s="42" t="s">
        <v>97</v>
      </c>
      <c r="B42" s="2"/>
      <c r="C42" s="2">
        <v>640</v>
      </c>
      <c r="D42" s="9">
        <f t="shared" si="1"/>
        <v>4054.7543533190242</v>
      </c>
    </row>
    <row r="45" spans="1:9" ht="30" customHeight="1" x14ac:dyDescent="0.25">
      <c r="A45" s="53"/>
      <c r="B45" s="53"/>
      <c r="C45" s="53"/>
      <c r="D45" s="53"/>
      <c r="E45" s="53"/>
      <c r="F45" s="53"/>
      <c r="G45" s="53"/>
      <c r="H45" s="53"/>
      <c r="I45" s="53"/>
    </row>
    <row r="46" spans="1:9" x14ac:dyDescent="0.25">
      <c r="A46" s="10" t="s">
        <v>58</v>
      </c>
      <c r="D46" s="16"/>
    </row>
    <row r="47" spans="1:9" x14ac:dyDescent="0.25">
      <c r="A47" s="12" t="s">
        <v>89</v>
      </c>
      <c r="B47" s="2"/>
      <c r="C47" s="3">
        <v>3296.88</v>
      </c>
      <c r="D47" s="9">
        <v>220</v>
      </c>
    </row>
    <row r="48" spans="1:9" x14ac:dyDescent="0.25">
      <c r="A48" s="2" t="s">
        <v>90</v>
      </c>
      <c r="B48" s="2"/>
      <c r="C48" s="3">
        <f>C47/D47*200</f>
        <v>2997.1636363636362</v>
      </c>
      <c r="D48" s="9"/>
    </row>
    <row r="49" spans="1:9" x14ac:dyDescent="0.25">
      <c r="A49" s="2" t="s">
        <v>48</v>
      </c>
      <c r="B49" s="11">
        <v>0.2</v>
      </c>
      <c r="C49" s="9">
        <f>C48*B49</f>
        <v>599.43272727272722</v>
      </c>
      <c r="D49" s="2"/>
    </row>
    <row r="50" spans="1:9" x14ac:dyDescent="0.25">
      <c r="A50" s="31" t="s">
        <v>56</v>
      </c>
      <c r="B50" s="11"/>
      <c r="C50" s="9"/>
      <c r="D50" s="13">
        <f>C49+C48</f>
        <v>3596.5963636363635</v>
      </c>
    </row>
    <row r="51" spans="1:9" x14ac:dyDescent="0.25">
      <c r="A51" s="2" t="s">
        <v>49</v>
      </c>
      <c r="B51" s="2">
        <v>20</v>
      </c>
      <c r="C51" s="3">
        <v>9.4</v>
      </c>
      <c r="D51" s="3">
        <f>C51*B51</f>
        <v>188</v>
      </c>
    </row>
    <row r="52" spans="1:9" x14ac:dyDescent="0.25">
      <c r="A52" s="2" t="s">
        <v>50</v>
      </c>
      <c r="B52" s="2">
        <v>1</v>
      </c>
      <c r="C52" s="3">
        <f>242.03*1.07</f>
        <v>258.97210000000001</v>
      </c>
      <c r="D52" s="3">
        <f>B52*C52</f>
        <v>258.97210000000001</v>
      </c>
    </row>
    <row r="53" spans="1:9" x14ac:dyDescent="0.25">
      <c r="A53" s="2" t="s">
        <v>91</v>
      </c>
      <c r="B53" s="2"/>
      <c r="C53" s="43">
        <v>0.1</v>
      </c>
      <c r="D53" s="3">
        <f>-D52*C53</f>
        <v>-25.897210000000001</v>
      </c>
    </row>
    <row r="54" spans="1:9" x14ac:dyDescent="0.25">
      <c r="A54" s="2" t="s">
        <v>92</v>
      </c>
      <c r="B54" s="2"/>
      <c r="C54" s="43">
        <v>0.06</v>
      </c>
      <c r="D54" s="3">
        <f>-C48*C54</f>
        <v>-179.82981818181815</v>
      </c>
    </row>
    <row r="55" spans="1:9" x14ac:dyDescent="0.25">
      <c r="A55" s="12" t="s">
        <v>51</v>
      </c>
      <c r="B55" s="12"/>
      <c r="C55" s="12"/>
      <c r="D55" s="13">
        <f>SUM(D50:D54)</f>
        <v>3837.8414354545453</v>
      </c>
    </row>
    <row r="56" spans="1:9" x14ac:dyDescent="0.25">
      <c r="A56" s="2" t="s">
        <v>52</v>
      </c>
      <c r="B56" s="2"/>
      <c r="C56" s="2"/>
      <c r="D56" s="9">
        <f>D55/12</f>
        <v>319.82011962121209</v>
      </c>
    </row>
    <row r="57" spans="1:9" x14ac:dyDescent="0.25">
      <c r="A57" s="2" t="s">
        <v>53</v>
      </c>
      <c r="B57" s="2"/>
      <c r="C57" s="2"/>
      <c r="D57" s="3">
        <f>(D55/3)/12</f>
        <v>106.60670654040403</v>
      </c>
    </row>
    <row r="58" spans="1:9" x14ac:dyDescent="0.25">
      <c r="A58" s="12" t="s">
        <v>54</v>
      </c>
      <c r="B58" s="12"/>
      <c r="C58" s="12"/>
      <c r="D58" s="30">
        <f>D57+D56+D55</f>
        <v>4264.268261616161</v>
      </c>
      <c r="E58" s="10" t="s">
        <v>55</v>
      </c>
      <c r="F58" s="10"/>
      <c r="G58" s="10"/>
      <c r="H58" s="10"/>
      <c r="I58" s="29">
        <f>D50+D56+D57</f>
        <v>4023.0231897979797</v>
      </c>
    </row>
    <row r="60" spans="1:9" ht="30" x14ac:dyDescent="0.25">
      <c r="A60" s="17" t="s">
        <v>25</v>
      </c>
      <c r="B60" s="47" t="s">
        <v>26</v>
      </c>
      <c r="C60" s="48"/>
      <c r="D60" s="48"/>
      <c r="E60" s="48"/>
      <c r="F60" s="48"/>
      <c r="G60" s="49"/>
      <c r="H60" s="18" t="s">
        <v>27</v>
      </c>
      <c r="I60" s="18" t="s">
        <v>28</v>
      </c>
    </row>
    <row r="61" spans="1:9" x14ac:dyDescent="0.25">
      <c r="A61" s="19" t="s">
        <v>29</v>
      </c>
      <c r="B61" s="50" t="s">
        <v>30</v>
      </c>
      <c r="C61" s="51"/>
      <c r="D61" s="51"/>
      <c r="E61" s="51"/>
      <c r="F61" s="51"/>
      <c r="G61" s="52"/>
      <c r="H61" s="20">
        <v>0.2</v>
      </c>
      <c r="I61" s="21">
        <f>$I$58*H61</f>
        <v>804.60463795959595</v>
      </c>
    </row>
    <row r="62" spans="1:9" x14ac:dyDescent="0.25">
      <c r="A62" s="19" t="s">
        <v>31</v>
      </c>
      <c r="B62" s="50" t="s">
        <v>32</v>
      </c>
      <c r="C62" s="51"/>
      <c r="D62" s="51"/>
      <c r="E62" s="51"/>
      <c r="F62" s="51"/>
      <c r="G62" s="52"/>
      <c r="H62" s="20">
        <v>1.4999999999999999E-2</v>
      </c>
      <c r="I62" s="21">
        <f t="shared" ref="I62:I68" si="2">$I$58*H62</f>
        <v>60.345347846969695</v>
      </c>
    </row>
    <row r="63" spans="1:9" x14ac:dyDescent="0.25">
      <c r="A63" s="19" t="s">
        <v>33</v>
      </c>
      <c r="B63" s="50" t="s">
        <v>34</v>
      </c>
      <c r="C63" s="51"/>
      <c r="D63" s="51"/>
      <c r="E63" s="51"/>
      <c r="F63" s="51"/>
      <c r="G63" s="52"/>
      <c r="H63" s="20">
        <v>0.01</v>
      </c>
      <c r="I63" s="21">
        <f t="shared" si="2"/>
        <v>40.230231897979799</v>
      </c>
    </row>
    <row r="64" spans="1:9" x14ac:dyDescent="0.25">
      <c r="A64" s="19" t="s">
        <v>35</v>
      </c>
      <c r="B64" s="50" t="s">
        <v>36</v>
      </c>
      <c r="C64" s="51"/>
      <c r="D64" s="51"/>
      <c r="E64" s="51"/>
      <c r="F64" s="51"/>
      <c r="G64" s="52"/>
      <c r="H64" s="20">
        <v>2E-3</v>
      </c>
      <c r="I64" s="21">
        <f t="shared" si="2"/>
        <v>8.0460463795959605</v>
      </c>
    </row>
    <row r="65" spans="1:9" x14ac:dyDescent="0.25">
      <c r="A65" s="19" t="s">
        <v>37</v>
      </c>
      <c r="B65" s="57" t="s">
        <v>38</v>
      </c>
      <c r="C65" s="58"/>
      <c r="D65" s="58"/>
      <c r="E65" s="58"/>
      <c r="F65" s="58"/>
      <c r="G65" s="59"/>
      <c r="H65" s="20">
        <v>2.5000000000000001E-2</v>
      </c>
      <c r="I65" s="21">
        <f t="shared" si="2"/>
        <v>100.57557974494949</v>
      </c>
    </row>
    <row r="66" spans="1:9" x14ac:dyDescent="0.25">
      <c r="A66" s="19" t="s">
        <v>39</v>
      </c>
      <c r="B66" s="57" t="s">
        <v>40</v>
      </c>
      <c r="C66" s="58"/>
      <c r="D66" s="58"/>
      <c r="E66" s="58"/>
      <c r="F66" s="58"/>
      <c r="G66" s="59"/>
      <c r="H66" s="22">
        <v>0.08</v>
      </c>
      <c r="I66" s="21">
        <f t="shared" si="2"/>
        <v>321.84185518383839</v>
      </c>
    </row>
    <row r="67" spans="1:9" x14ac:dyDescent="0.25">
      <c r="A67" s="19" t="s">
        <v>41</v>
      </c>
      <c r="B67" s="60" t="s">
        <v>42</v>
      </c>
      <c r="C67" s="61"/>
      <c r="D67" s="23" t="s">
        <v>43</v>
      </c>
      <c r="E67" s="24">
        <v>0.03</v>
      </c>
      <c r="F67" s="23" t="s">
        <v>44</v>
      </c>
      <c r="G67" s="25">
        <v>1</v>
      </c>
      <c r="H67" s="26">
        <f>ROUND((E67*G67),6)</f>
        <v>0.03</v>
      </c>
      <c r="I67" s="21">
        <f t="shared" si="2"/>
        <v>120.69069569393939</v>
      </c>
    </row>
    <row r="68" spans="1:9" x14ac:dyDescent="0.25">
      <c r="A68" s="19" t="s">
        <v>45</v>
      </c>
      <c r="B68" s="57" t="s">
        <v>46</v>
      </c>
      <c r="C68" s="58"/>
      <c r="D68" s="58"/>
      <c r="E68" s="58"/>
      <c r="F68" s="58"/>
      <c r="G68" s="59"/>
      <c r="H68" s="20">
        <v>6.0000000000000001E-3</v>
      </c>
      <c r="I68" s="21">
        <f t="shared" si="2"/>
        <v>24.138139138787878</v>
      </c>
    </row>
    <row r="69" spans="1:9" x14ac:dyDescent="0.25">
      <c r="A69" s="54" t="s">
        <v>47</v>
      </c>
      <c r="B69" s="55"/>
      <c r="C69" s="55"/>
      <c r="D69" s="55"/>
      <c r="E69" s="55"/>
      <c r="F69" s="55"/>
      <c r="G69" s="56"/>
      <c r="H69" s="27">
        <f>SUM(H61:H68)</f>
        <v>0.3680000000000001</v>
      </c>
      <c r="I69" s="28">
        <f>TRUNC(SUM(I61:I68),2)</f>
        <v>1480.47</v>
      </c>
    </row>
    <row r="71" spans="1:9" x14ac:dyDescent="0.25">
      <c r="A71" s="32" t="s">
        <v>59</v>
      </c>
      <c r="B71" s="2"/>
      <c r="C71" s="2"/>
      <c r="D71" s="2"/>
      <c r="E71" s="2"/>
      <c r="F71" s="2"/>
      <c r="G71" s="2"/>
      <c r="H71" s="2"/>
      <c r="I71" s="13">
        <f>D58+I69</f>
        <v>5744.7382616161613</v>
      </c>
    </row>
    <row r="72" spans="1:9" x14ac:dyDescent="0.25">
      <c r="A72" s="33" t="s">
        <v>57</v>
      </c>
      <c r="B72" s="2"/>
      <c r="C72" s="2"/>
      <c r="D72" s="2"/>
      <c r="E72" s="2"/>
      <c r="F72" s="2"/>
      <c r="G72" s="2"/>
      <c r="H72" s="11">
        <v>1</v>
      </c>
      <c r="I72" s="13">
        <f>I71*H72</f>
        <v>5744.7382616161613</v>
      </c>
    </row>
    <row r="76" spans="1:9" x14ac:dyDescent="0.25">
      <c r="A76" s="35" t="s">
        <v>60</v>
      </c>
    </row>
    <row r="77" spans="1:9" x14ac:dyDescent="0.25">
      <c r="A77" s="36" t="s">
        <v>61</v>
      </c>
    </row>
    <row r="78" spans="1:9" x14ac:dyDescent="0.25">
      <c r="A78" s="36" t="s">
        <v>62</v>
      </c>
    </row>
    <row r="79" spans="1:9" x14ac:dyDescent="0.25">
      <c r="A79" s="36" t="s">
        <v>63</v>
      </c>
    </row>
    <row r="80" spans="1:9" x14ac:dyDescent="0.25">
      <c r="A80" s="36" t="s">
        <v>64</v>
      </c>
    </row>
    <row r="81" spans="1:1" x14ac:dyDescent="0.25">
      <c r="A81" s="36"/>
    </row>
    <row r="82" spans="1:1" x14ac:dyDescent="0.25">
      <c r="A82" s="36"/>
    </row>
    <row r="83" spans="1:1" x14ac:dyDescent="0.25">
      <c r="A83" s="36"/>
    </row>
    <row r="84" spans="1:1" x14ac:dyDescent="0.25">
      <c r="A84" s="37" t="s">
        <v>65</v>
      </c>
    </row>
    <row r="85" spans="1:1" x14ac:dyDescent="0.25">
      <c r="A85" s="38" t="s">
        <v>66</v>
      </c>
    </row>
    <row r="86" spans="1:1" x14ac:dyDescent="0.25">
      <c r="A86" s="38" t="s">
        <v>67</v>
      </c>
    </row>
    <row r="87" spans="1:1" x14ac:dyDescent="0.25">
      <c r="A87" s="38" t="s">
        <v>68</v>
      </c>
    </row>
    <row r="88" spans="1:1" x14ac:dyDescent="0.25">
      <c r="A88" s="38" t="s">
        <v>69</v>
      </c>
    </row>
    <row r="89" spans="1:1" x14ac:dyDescent="0.25">
      <c r="A89" s="38" t="s">
        <v>70</v>
      </c>
    </row>
    <row r="90" spans="1:1" x14ac:dyDescent="0.25">
      <c r="A90" s="38" t="s">
        <v>71</v>
      </c>
    </row>
    <row r="91" spans="1:1" x14ac:dyDescent="0.25">
      <c r="A91" s="39" t="s">
        <v>72</v>
      </c>
    </row>
  </sheetData>
  <mergeCells count="12">
    <mergeCell ref="B65:G65"/>
    <mergeCell ref="B66:G66"/>
    <mergeCell ref="B67:C67"/>
    <mergeCell ref="B68:G68"/>
    <mergeCell ref="A69:G69"/>
    <mergeCell ref="B64:G64"/>
    <mergeCell ref="A1:F1"/>
    <mergeCell ref="B60:G60"/>
    <mergeCell ref="B61:G61"/>
    <mergeCell ref="B62:G62"/>
    <mergeCell ref="B63:G63"/>
    <mergeCell ref="A45:I45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van 15 e 18 lugar</vt:lpstr>
      <vt:lpstr>micro 26 lugar</vt:lpstr>
      <vt:lpstr>onibus 40 lugar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</dc:creator>
  <cp:lastModifiedBy>Cézar</cp:lastModifiedBy>
  <dcterms:created xsi:type="dcterms:W3CDTF">2019-11-18T12:02:57Z</dcterms:created>
  <dcterms:modified xsi:type="dcterms:W3CDTF">2023-06-07T20:18:39Z</dcterms:modified>
</cp:coreProperties>
</file>