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ézar\Documents\Arquivos\Empresa de consultoria\a prefeituras\Rosario\planilhas de custos\"/>
    </mc:Choice>
  </mc:AlternateContent>
  <bookViews>
    <workbookView xWindow="-120" yWindow="-120" windowWidth="20730" windowHeight="11160" activeTab="2"/>
  </bookViews>
  <sheets>
    <sheet name="van 15 lugar" sheetId="1" r:id="rId1"/>
    <sheet name="van 18 lugar" sheetId="2" r:id="rId2"/>
    <sheet name="van 22 lugar" sheetId="3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57" i="3" l="1"/>
  <c r="H55" i="3"/>
  <c r="D42" i="3"/>
  <c r="D41" i="3"/>
  <c r="D40" i="3"/>
  <c r="D39" i="3"/>
  <c r="C37" i="3"/>
  <c r="D38" i="3" s="1"/>
  <c r="C36" i="3"/>
  <c r="C31" i="3"/>
  <c r="B18" i="3"/>
  <c r="D18" i="3" s="1"/>
  <c r="C15" i="3"/>
  <c r="D15" i="3" s="1"/>
  <c r="D14" i="3"/>
  <c r="C11" i="3"/>
  <c r="B22" i="3" s="1"/>
  <c r="B8" i="3"/>
  <c r="B9" i="3" s="1"/>
  <c r="C10" i="3" s="1"/>
  <c r="B21" i="3" s="1"/>
  <c r="D5" i="3"/>
  <c r="H55" i="2"/>
  <c r="H57" i="2" s="1"/>
  <c r="D42" i="2"/>
  <c r="D41" i="2"/>
  <c r="D40" i="2"/>
  <c r="D39" i="2"/>
  <c r="D38" i="2"/>
  <c r="C37" i="2"/>
  <c r="C36" i="2"/>
  <c r="C31" i="2"/>
  <c r="B22" i="2"/>
  <c r="B18" i="2"/>
  <c r="D18" i="2" s="1"/>
  <c r="D15" i="2"/>
  <c r="C15" i="2"/>
  <c r="C16" i="2" s="1"/>
  <c r="D16" i="2" s="1"/>
  <c r="D14" i="2"/>
  <c r="C11" i="2"/>
  <c r="C10" i="2"/>
  <c r="B21" i="2" s="1"/>
  <c r="B9" i="2"/>
  <c r="B8" i="2"/>
  <c r="D5" i="2"/>
  <c r="D43" i="3" l="1"/>
  <c r="C16" i="3"/>
  <c r="D16" i="3" s="1"/>
  <c r="C17" i="3"/>
  <c r="C17" i="2"/>
  <c r="D43" i="2"/>
  <c r="D42" i="1"/>
  <c r="C20" i="3" l="1"/>
  <c r="C21" i="3" s="1"/>
  <c r="D17" i="3"/>
  <c r="C19" i="3"/>
  <c r="D19" i="3" s="1"/>
  <c r="D44" i="3"/>
  <c r="I46" i="3" s="1"/>
  <c r="D45" i="3"/>
  <c r="D44" i="2"/>
  <c r="I46" i="2" s="1"/>
  <c r="D45" i="2"/>
  <c r="D46" i="2" s="1"/>
  <c r="C20" i="2"/>
  <c r="C21" i="2" s="1"/>
  <c r="D17" i="2"/>
  <c r="C19" i="2"/>
  <c r="D19" i="2" s="1"/>
  <c r="D41" i="1"/>
  <c r="C36" i="1"/>
  <c r="D46" i="3" l="1"/>
  <c r="C22" i="3"/>
  <c r="D22" i="3" s="1"/>
  <c r="D21" i="3"/>
  <c r="I56" i="3"/>
  <c r="I53" i="3"/>
  <c r="I49" i="3"/>
  <c r="I51" i="3"/>
  <c r="I54" i="3"/>
  <c r="I50" i="3"/>
  <c r="I55" i="3"/>
  <c r="I52" i="3"/>
  <c r="C22" i="2"/>
  <c r="D22" i="2" s="1"/>
  <c r="D21" i="2"/>
  <c r="I56" i="2"/>
  <c r="I53" i="2"/>
  <c r="I49" i="2"/>
  <c r="I55" i="2"/>
  <c r="I52" i="2"/>
  <c r="I51" i="2"/>
  <c r="I54" i="2"/>
  <c r="I50" i="2"/>
  <c r="B18" i="1"/>
  <c r="B8" i="1"/>
  <c r="D5" i="1"/>
  <c r="I57" i="3" l="1"/>
  <c r="I59" i="3" s="1"/>
  <c r="I60" i="3" s="1"/>
  <c r="B20" i="3" s="1"/>
  <c r="D20" i="3" s="1"/>
  <c r="D23" i="3" s="1"/>
  <c r="I57" i="2"/>
  <c r="I59" i="2" s="1"/>
  <c r="I60" i="2" s="1"/>
  <c r="B20" i="2" s="1"/>
  <c r="D20" i="2" s="1"/>
  <c r="D23" i="2" s="1"/>
  <c r="D40" i="1"/>
  <c r="D39" i="1"/>
  <c r="D43" i="1" s="1"/>
  <c r="C37" i="1"/>
  <c r="D38" i="1" s="1"/>
  <c r="H57" i="1"/>
  <c r="H55" i="1"/>
  <c r="D26" i="3" l="1"/>
  <c r="D25" i="3"/>
  <c r="D26" i="2"/>
  <c r="D25" i="2"/>
  <c r="D45" i="1"/>
  <c r="D27" i="3" l="1"/>
  <c r="D27" i="2"/>
  <c r="D44" i="1"/>
  <c r="I46" i="1" s="1"/>
  <c r="D46" i="1"/>
  <c r="C31" i="1"/>
  <c r="D18" i="1"/>
  <c r="D28" i="3" l="1"/>
  <c r="D30" i="3" s="1"/>
  <c r="D31" i="3" s="1"/>
  <c r="D28" i="2"/>
  <c r="D30" i="2"/>
  <c r="D31" i="2" s="1"/>
  <c r="I55" i="1"/>
  <c r="I54" i="1"/>
  <c r="I56" i="1"/>
  <c r="I50" i="1"/>
  <c r="I49" i="1"/>
  <c r="I51" i="1"/>
  <c r="I53" i="1"/>
  <c r="I52" i="1"/>
  <c r="D14" i="1"/>
  <c r="C11" i="1" l="1"/>
  <c r="B22" i="1" s="1"/>
  <c r="B9" i="1"/>
  <c r="C10" i="1" s="1"/>
  <c r="B21" i="1" s="1"/>
  <c r="C15" i="1"/>
  <c r="C17" i="1" s="1"/>
  <c r="C20" i="1" l="1"/>
  <c r="C19" i="1"/>
  <c r="D19" i="1" s="1"/>
  <c r="C16" i="1"/>
  <c r="C21" i="1" l="1"/>
  <c r="D17" i="1"/>
  <c r="D16" i="1"/>
  <c r="D15" i="1"/>
  <c r="C22" i="1" l="1"/>
  <c r="D22" i="1" s="1"/>
  <c r="D21" i="1"/>
  <c r="I57" i="1" l="1"/>
  <c r="I59" i="1" s="1"/>
  <c r="I60" i="1" s="1"/>
  <c r="B20" i="1" s="1"/>
  <c r="D20" i="1" s="1"/>
  <c r="D23" i="1" s="1"/>
  <c r="D26" i="1" l="1"/>
  <c r="D25" i="1"/>
  <c r="D27" i="1" l="1"/>
  <c r="D28" i="1" s="1"/>
  <c r="D30" i="1" s="1"/>
  <c r="D31" i="1" s="1"/>
</calcChain>
</file>

<file path=xl/comments1.xml><?xml version="1.0" encoding="utf-8"?>
<comments xmlns="http://schemas.openxmlformats.org/spreadsheetml/2006/main">
  <authors>
    <author>Oscar Emil Soares</author>
  </authors>
  <commentList>
    <comment ref="D55" authorId="0" shapeId="0">
      <text>
        <r>
          <rPr>
            <b/>
            <sz val="9"/>
            <color indexed="81"/>
            <rFont val="Tahoma"/>
            <family val="2"/>
          </rPr>
          <t>CAPP:</t>
        </r>
        <r>
          <rPr>
            <sz val="9"/>
            <color indexed="81"/>
            <rFont val="Tahoma"/>
            <family val="2"/>
          </rPr>
          <t xml:space="preserve">
Riscos Ambientais do Trabalho = 1%, 2% ou 3%. Depende do CNAE (Classificação Nacional de Atividade Econômica) da empresa.</t>
        </r>
      </text>
    </comment>
    <comment ref="F55" authorId="0" shapeId="0">
      <text>
        <r>
          <rPr>
            <b/>
            <sz val="9"/>
            <color indexed="81"/>
            <rFont val="Tahoma"/>
            <family val="2"/>
          </rPr>
          <t>CAPP:</t>
        </r>
        <r>
          <rPr>
            <sz val="9"/>
            <color indexed="81"/>
            <rFont val="Tahoma"/>
            <family val="2"/>
          </rPr>
          <t xml:space="preserve">
Fator Acidentário de Prevenção (particular de cada empresa)</t>
        </r>
      </text>
    </comment>
    <comment ref="G55" authorId="0" shapeId="0">
      <text>
        <r>
          <rPr>
            <b/>
            <sz val="9"/>
            <color indexed="81"/>
            <rFont val="Tahoma"/>
            <family val="2"/>
          </rPr>
          <t>CAPP:</t>
        </r>
        <r>
          <rPr>
            <sz val="9"/>
            <color indexed="81"/>
            <rFont val="Tahoma"/>
            <family val="2"/>
          </rPr>
          <t xml:space="preserve">
vai de 0,5000 até 2,0000</t>
        </r>
      </text>
    </comment>
  </commentList>
</comments>
</file>

<file path=xl/comments2.xml><?xml version="1.0" encoding="utf-8"?>
<comments xmlns="http://schemas.openxmlformats.org/spreadsheetml/2006/main">
  <authors>
    <author>Oscar Emil Soares</author>
  </authors>
  <commentList>
    <comment ref="D55" authorId="0" shapeId="0">
      <text>
        <r>
          <rPr>
            <b/>
            <sz val="9"/>
            <color indexed="81"/>
            <rFont val="Tahoma"/>
            <family val="2"/>
          </rPr>
          <t>CAPP:</t>
        </r>
        <r>
          <rPr>
            <sz val="9"/>
            <color indexed="81"/>
            <rFont val="Tahoma"/>
            <family val="2"/>
          </rPr>
          <t xml:space="preserve">
Riscos Ambientais do Trabalho = 1%, 2% ou 3%. Depende do CNAE (Classificação Nacional de Atividade Econômica) da empresa.</t>
        </r>
      </text>
    </comment>
    <comment ref="F55" authorId="0" shapeId="0">
      <text>
        <r>
          <rPr>
            <b/>
            <sz val="9"/>
            <color indexed="81"/>
            <rFont val="Tahoma"/>
            <family val="2"/>
          </rPr>
          <t>CAPP:</t>
        </r>
        <r>
          <rPr>
            <sz val="9"/>
            <color indexed="81"/>
            <rFont val="Tahoma"/>
            <family val="2"/>
          </rPr>
          <t xml:space="preserve">
Fator Acidentário de Prevenção (particular de cada empresa)</t>
        </r>
      </text>
    </comment>
    <comment ref="G55" authorId="0" shapeId="0">
      <text>
        <r>
          <rPr>
            <b/>
            <sz val="9"/>
            <color indexed="81"/>
            <rFont val="Tahoma"/>
            <family val="2"/>
          </rPr>
          <t>CAPP:</t>
        </r>
        <r>
          <rPr>
            <sz val="9"/>
            <color indexed="81"/>
            <rFont val="Tahoma"/>
            <family val="2"/>
          </rPr>
          <t xml:space="preserve">
vai de 0,5000 até 2,0000</t>
        </r>
      </text>
    </comment>
  </commentList>
</comments>
</file>

<file path=xl/comments3.xml><?xml version="1.0" encoding="utf-8"?>
<comments xmlns="http://schemas.openxmlformats.org/spreadsheetml/2006/main">
  <authors>
    <author>Oscar Emil Soares</author>
  </authors>
  <commentList>
    <comment ref="D55" authorId="0" shapeId="0">
      <text>
        <r>
          <rPr>
            <b/>
            <sz val="9"/>
            <color indexed="81"/>
            <rFont val="Tahoma"/>
            <family val="2"/>
          </rPr>
          <t>CAPP:</t>
        </r>
        <r>
          <rPr>
            <sz val="9"/>
            <color indexed="81"/>
            <rFont val="Tahoma"/>
            <family val="2"/>
          </rPr>
          <t xml:space="preserve">
Riscos Ambientais do Trabalho = 1%, 2% ou 3%. Depende do CNAE (Classificação Nacional de Atividade Econômica) da empresa.</t>
        </r>
      </text>
    </comment>
    <comment ref="F55" authorId="0" shapeId="0">
      <text>
        <r>
          <rPr>
            <b/>
            <sz val="9"/>
            <color indexed="81"/>
            <rFont val="Tahoma"/>
            <family val="2"/>
          </rPr>
          <t>CAPP:</t>
        </r>
        <r>
          <rPr>
            <sz val="9"/>
            <color indexed="81"/>
            <rFont val="Tahoma"/>
            <family val="2"/>
          </rPr>
          <t xml:space="preserve">
Fator Acidentário de Prevenção (particular de cada empresa)</t>
        </r>
      </text>
    </comment>
    <comment ref="G55" authorId="0" shapeId="0">
      <text>
        <r>
          <rPr>
            <b/>
            <sz val="9"/>
            <color indexed="81"/>
            <rFont val="Tahoma"/>
            <family val="2"/>
          </rPr>
          <t>CAPP:</t>
        </r>
        <r>
          <rPr>
            <sz val="9"/>
            <color indexed="81"/>
            <rFont val="Tahoma"/>
            <family val="2"/>
          </rPr>
          <t xml:space="preserve">
vai de 0,5000 até 2,0000</t>
        </r>
      </text>
    </comment>
  </commentList>
</comments>
</file>

<file path=xl/sharedStrings.xml><?xml version="1.0" encoding="utf-8"?>
<sst xmlns="http://schemas.openxmlformats.org/spreadsheetml/2006/main" count="258" uniqueCount="90">
  <si>
    <t>Item de custo</t>
  </si>
  <si>
    <t>custo/km</t>
  </si>
  <si>
    <t>Diesel</t>
  </si>
  <si>
    <t>Manutenção geral</t>
  </si>
  <si>
    <t>Salário motorista+encargos</t>
  </si>
  <si>
    <t>R$</t>
  </si>
  <si>
    <t>lubrificação mensal</t>
  </si>
  <si>
    <t>Planilha de custos</t>
  </si>
  <si>
    <t>valor R$</t>
  </si>
  <si>
    <t>Custo aquisição máquina</t>
  </si>
  <si>
    <t>Base cálculo para depreciação</t>
  </si>
  <si>
    <t>Vida útil e valor depreciação mês</t>
  </si>
  <si>
    <t>Depreciação</t>
  </si>
  <si>
    <t>Custo de oportunidade ano/mês</t>
  </si>
  <si>
    <t>Custo de oportunidade mês</t>
  </si>
  <si>
    <t>Sub-total</t>
  </si>
  <si>
    <t>Tributos incidentes sobre a nota</t>
  </si>
  <si>
    <t>Custos indiretos</t>
  </si>
  <si>
    <t xml:space="preserve">Lucro </t>
  </si>
  <si>
    <t>Cofins 3%; Pis 0,65%; ISSQN 3%</t>
  </si>
  <si>
    <t>IPVA/DPVAT anual</t>
  </si>
  <si>
    <t>produtividade/km</t>
  </si>
  <si>
    <t>Linha 1</t>
  </si>
  <si>
    <t>kms rodados por mês</t>
  </si>
  <si>
    <t>Custo direto por km</t>
  </si>
  <si>
    <t>Total final do preço por km</t>
  </si>
  <si>
    <t>Seguro passageiros-mensal</t>
  </si>
  <si>
    <t>Faturamento mensal</t>
  </si>
  <si>
    <t>Pneus 4</t>
  </si>
  <si>
    <t>4.1</t>
  </si>
  <si>
    <t>Encargos Previdenciários e FGTS</t>
  </si>
  <si>
    <t>Percentual (%)</t>
  </si>
  <si>
    <t>Valor (R$)</t>
  </si>
  <si>
    <t>A</t>
  </si>
  <si>
    <t>INSS</t>
  </si>
  <si>
    <t>B</t>
  </si>
  <si>
    <t>SESI ou SESC</t>
  </si>
  <si>
    <t>C</t>
  </si>
  <si>
    <t>SENAI ou SENAC</t>
  </si>
  <si>
    <t>D</t>
  </si>
  <si>
    <t>INCRA</t>
  </si>
  <si>
    <t>E</t>
  </si>
  <si>
    <t>Salário educação</t>
  </si>
  <si>
    <t>F</t>
  </si>
  <si>
    <t>FGTS</t>
  </si>
  <si>
    <t>G</t>
  </si>
  <si>
    <r>
      <t xml:space="preserve">Seguro Acidente de Trabalho =                          SAT = (RAT x FAP)
</t>
    </r>
    <r>
      <rPr>
        <sz val="10"/>
        <color indexed="10"/>
        <rFont val="Arial"/>
        <family val="2"/>
      </rPr>
      <t>SAT =</t>
    </r>
    <r>
      <rPr>
        <b/>
        <sz val="10"/>
        <color indexed="10"/>
        <rFont val="Arial"/>
        <family val="2"/>
      </rPr>
      <t xml:space="preserve"> </t>
    </r>
    <r>
      <rPr>
        <b/>
        <sz val="8"/>
        <color indexed="10"/>
        <rFont val="Arial"/>
        <family val="2"/>
      </rPr>
      <t>( %Riscos Ambientais do Trabalho x Fator Acidentário de Prevenção de cada empresa )</t>
    </r>
  </si>
  <si>
    <t>RAT =</t>
  </si>
  <si>
    <t xml:space="preserve"> FAP =</t>
  </si>
  <si>
    <t>H</t>
  </si>
  <si>
    <t>SEBRAE</t>
  </si>
  <si>
    <t>TOTAL</t>
  </si>
  <si>
    <t>Insalubridade</t>
  </si>
  <si>
    <t>Vale transporte</t>
  </si>
  <si>
    <t>Vale alimentação</t>
  </si>
  <si>
    <t>Custo total remuneração</t>
  </si>
  <si>
    <t>Provisão 13º salário</t>
  </si>
  <si>
    <t>Provisão férias</t>
  </si>
  <si>
    <t>Custo total mensal com provisões</t>
  </si>
  <si>
    <t>Custo base para encargos</t>
  </si>
  <si>
    <t>Custo base funcionário</t>
  </si>
  <si>
    <t>índice de incidência ref. Utilização funcionário no contrato do município</t>
  </si>
  <si>
    <t>Detalhamento da Composição dos salários</t>
  </si>
  <si>
    <t>Custo total salárial</t>
  </si>
  <si>
    <t>DECLARAÇÕES QUE A EMPRESA LICITANTE DEVE FAZER:</t>
  </si>
  <si>
    <t>A empresa é otante pelo seguinte regime de tributação e recolhe, atualmente, as seguintes alíquotas de tributos:</t>
  </si>
  <si>
    <t>(     ) a) Lucro presumido, recolhendo: Cofins (       %); Pis (       %); IRPJ (        %); CSLL (       %). Após contratar com a prefeitura manterá estas alíquotas; (caso ocorrer alteração nas alíquotas, as mesmas serão as seguintes .......</t>
  </si>
  <si>
    <t>(     ) b) Lucro real, recolhendo: Cofins (       %); Pis (       %); IRPJ (        %); CSLL (       %). Após contratar com a prefeitura manterá estas alíquotas; (caso ocorrer alteração nas alíquotas, as mesmas serão as seguintes .......</t>
  </si>
  <si>
    <t>(     ) c) Simples nacional, recolhendo a alíquota atual de (       %), estando enquandrado no anexo (        );  Com este contrato a empresa passará a recolher aliquota (        %) e passará para o anexo (        ), não se desenquadrará do simples nacional. (OU) Após assinatura do contrato a empresa se descredenciará do simples e passará para a tributação do ..................</t>
  </si>
  <si>
    <t>Observação:</t>
  </si>
  <si>
    <t>Cada empresa é responsável por incluir em sua planilha de custos, os enquadramentos tributários, trabalhistas e previdenciários, de acordo com a realidade tributária e funcional de seu quadro de funcionários. Desta forma, a planilha de custos disponibilizada pela prefeitura representa, apenas, um MODELO REFERENCIAL, e que impõe um limite máximo de valores para a proposta apresentada.</t>
  </si>
  <si>
    <t>Destaca-se, que cada empresa possui a sua realidade tributária e funcional, o município não tem como prever todas as possibilidades de enquadramento funcionais, que são baseadas em acordos sindicais e na legislação trabalhista como um todo.</t>
  </si>
  <si>
    <t>Além disso, para cada cargo ou ambiente de trabalho funcional, alteram-se as condições e enquadramentos, como por exemplo: de insalubridade e EPI (depende do laudo de condições ambientais de trabalho para cada cargo e para cada local de trabalho); Situação de enquadramento tributária e previdenciária (se a empresa é optante pelo simples nacional, lucro presumido ou lucro real);</t>
  </si>
  <si>
    <t>Por fim, as condições e regras de trabalho também são disciplinadas pelos acordos coletivos de trabalho, os quais, a empresa deve observar.</t>
  </si>
  <si>
    <t>Portanto, baseado nestes aspectos, cabe a empresa identificar quais os enquadramentos trabalhistas e tributários corretos para a situação licitada. Ao final do pleito licitatório, ou mesmo, no decorrer da execução contratual, se o município verificar, por meio de recursos à licitação ou denúncias recebidas durante a execução contratual, que no momento da elaboração da proposta e da planilha de custos final, a empresa apresentou um item de custos (na planilha de custos final) diferente do que é exigido na convenção coletiva sindical ou em qualquer legislação trabalhista, visando reduzir o valor de sua proposta financeira, o município poderá considerar tal fato, como uso de má fé por parte da empresa.</t>
  </si>
  <si>
    <t>Assim, com esta prova de má fé por parte do licitante, o município poderá desabilitar a empresa durante o processo licitatório, ou mesmo, rescindir o contrato em vigor, pelo bem do serviço público.</t>
  </si>
  <si>
    <t>Como no Brasil existem muitos sindicatos, cabe a empresa apontar em qual dissídio e sindicato, seus colaboradores serão enquadrados, observando-se as regras dos mesmos.</t>
  </si>
  <si>
    <t>van 15 lugares transporte</t>
  </si>
  <si>
    <t>kms rodados por dia</t>
  </si>
  <si>
    <t xml:space="preserve">dias por mês </t>
  </si>
  <si>
    <t>Valor residual 20%</t>
  </si>
  <si>
    <t>Salário base cfe convenção coletiva para 220 hs</t>
  </si>
  <si>
    <t>Salário base para 200 horas</t>
  </si>
  <si>
    <t>Desconto alimentação cfe cct</t>
  </si>
  <si>
    <t>Desconto transporte</t>
  </si>
  <si>
    <t>SINDICATO DAS EMPRESAS DE TRANSPORTE COLETIVO RODOVIARIO INTERMUNICIPAL,INTERESTADUAL E INTERNACIONAL DO ESTADO DO, CNPJ n. 04.418.876/0001-03</t>
  </si>
  <si>
    <t>Linha 2</t>
  </si>
  <si>
    <t>van 18 lugares transporte</t>
  </si>
  <si>
    <t>Linha 3</t>
  </si>
  <si>
    <t>van 22 lugares transporte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</si>
</sst>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0.0000"/>
    <numFmt numFmtId="166" formatCode="0.000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</font>
    <font>
      <sz val="10"/>
      <color rgb="FF000000"/>
      <name val="Times New Roman"/>
      <family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9"/>
        <bgColor indexed="26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60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0" fontId="3" fillId="0" borderId="1" xfId="0" applyFont="1" applyBorder="1"/>
    <xf numFmtId="164" fontId="3" fillId="0" borderId="1" xfId="0" applyNumberFormat="1" applyFont="1" applyBorder="1"/>
    <xf numFmtId="0" fontId="3" fillId="0" borderId="0" xfId="0" applyFont="1" applyAlignment="1">
      <alignment horizontal="center"/>
    </xf>
    <xf numFmtId="43" fontId="3" fillId="0" borderId="0" xfId="1" applyFont="1" applyAlignment="1">
      <alignment horizontal="center"/>
    </xf>
    <xf numFmtId="43" fontId="3" fillId="0" borderId="0" xfId="0" applyNumberFormat="1" applyFont="1" applyAlignment="1">
      <alignment horizontal="center"/>
    </xf>
    <xf numFmtId="43" fontId="0" fillId="0" borderId="1" xfId="0" applyNumberFormat="1" applyBorder="1"/>
    <xf numFmtId="0" fontId="2" fillId="0" borderId="0" xfId="0" applyFont="1"/>
    <xf numFmtId="9" fontId="0" fillId="0" borderId="1" xfId="0" applyNumberFormat="1" applyBorder="1"/>
    <xf numFmtId="0" fontId="2" fillId="0" borderId="1" xfId="0" applyFont="1" applyBorder="1"/>
    <xf numFmtId="43" fontId="2" fillId="0" borderId="1" xfId="0" applyNumberFormat="1" applyFont="1" applyBorder="1"/>
    <xf numFmtId="10" fontId="0" fillId="0" borderId="1" xfId="0" applyNumberFormat="1" applyBorder="1"/>
    <xf numFmtId="10" fontId="3" fillId="0" borderId="0" xfId="0" applyNumberFormat="1" applyFont="1" applyAlignment="1">
      <alignment horizontal="center"/>
    </xf>
    <xf numFmtId="0" fontId="0" fillId="0" borderId="1" xfId="0" applyFill="1" applyBorder="1"/>
    <xf numFmtId="43" fontId="0" fillId="0" borderId="0" xfId="0" applyNumberFormat="1"/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center"/>
    </xf>
    <xf numFmtId="10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right" vertical="center" wrapText="1"/>
    </xf>
    <xf numFmtId="9" fontId="3" fillId="3" borderId="1" xfId="0" applyNumberFormat="1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right" vertical="center"/>
    </xf>
    <xf numFmtId="166" fontId="3" fillId="2" borderId="1" xfId="0" applyNumberFormat="1" applyFont="1" applyFill="1" applyBorder="1" applyAlignment="1">
      <alignment horizontal="right" vertical="center"/>
    </xf>
    <xf numFmtId="4" fontId="3" fillId="2" borderId="1" xfId="0" applyNumberFormat="1" applyFont="1" applyFill="1" applyBorder="1" applyAlignment="1">
      <alignment horizontal="right" vertical="center"/>
    </xf>
    <xf numFmtId="43" fontId="2" fillId="0" borderId="0" xfId="0" applyNumberFormat="1" applyFont="1"/>
    <xf numFmtId="43" fontId="2" fillId="0" borderId="1" xfId="1" applyFont="1" applyBorder="1"/>
    <xf numFmtId="0" fontId="2" fillId="0" borderId="1" xfId="0" applyFont="1" applyBorder="1" applyAlignment="1">
      <alignment horizontal="right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11" fillId="4" borderId="0" xfId="2" applyFont="1" applyFill="1"/>
    <xf numFmtId="0" fontId="10" fillId="4" borderId="0" xfId="2" applyFill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0" xfId="0" applyNumberFormat="1" applyFont="1" applyFill="1" applyBorder="1" applyAlignment="1">
      <alignment horizontal="left" vertical="top"/>
    </xf>
    <xf numFmtId="0" fontId="13" fillId="0" borderId="0" xfId="0" applyFont="1" applyAlignment="1">
      <alignment horizontal="left"/>
    </xf>
    <xf numFmtId="9" fontId="0" fillId="0" borderId="1" xfId="1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0" fillId="0" borderId="0" xfId="0" applyAlignment="1">
      <alignment horizontal="center" wrapText="1"/>
    </xf>
    <xf numFmtId="0" fontId="3" fillId="2" borderId="2" xfId="0" applyFont="1" applyFill="1" applyBorder="1" applyAlignment="1">
      <alignment horizontal="right" vertical="center"/>
    </xf>
    <xf numFmtId="0" fontId="0" fillId="2" borderId="3" xfId="0" applyFill="1" applyBorder="1" applyAlignment="1">
      <alignment horizontal="right" vertical="center"/>
    </xf>
    <xf numFmtId="0" fontId="0" fillId="2" borderId="4" xfId="0" applyFill="1" applyBorder="1" applyAlignment="1">
      <alignment horizontal="right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</cellXfs>
  <cellStyles count="3">
    <cellStyle name="Excel Built-in Normal" xfId="2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79"/>
  <sheetViews>
    <sheetView workbookViewId="0">
      <selection sqref="A1:XFD1048576"/>
    </sheetView>
  </sheetViews>
  <sheetFormatPr defaultRowHeight="15" x14ac:dyDescent="0.25"/>
  <cols>
    <col min="1" max="1" width="32.28515625" bestFit="1" customWidth="1"/>
    <col min="2" max="2" width="11.28515625" bestFit="1" customWidth="1"/>
    <col min="3" max="3" width="17" bestFit="1" customWidth="1"/>
    <col min="4" max="4" width="10.5703125" bestFit="1" customWidth="1"/>
    <col min="5" max="5" width="10.7109375" customWidth="1"/>
    <col min="9" max="9" width="9.5703125" bestFit="1" customWidth="1"/>
  </cols>
  <sheetData>
    <row r="1" spans="1:6" x14ac:dyDescent="0.25">
      <c r="A1" s="44" t="s">
        <v>7</v>
      </c>
      <c r="B1" s="44"/>
      <c r="C1" s="44"/>
      <c r="D1" s="44"/>
      <c r="E1" s="44"/>
      <c r="F1" s="44"/>
    </row>
    <row r="2" spans="1:6" x14ac:dyDescent="0.25">
      <c r="A2" s="6" t="s">
        <v>22</v>
      </c>
      <c r="B2" s="6"/>
      <c r="C2" s="6"/>
      <c r="D2" s="6"/>
      <c r="E2" s="6"/>
      <c r="F2" s="6"/>
    </row>
    <row r="3" spans="1:6" x14ac:dyDescent="0.25">
      <c r="A3" s="35"/>
      <c r="B3" s="41" t="s">
        <v>78</v>
      </c>
      <c r="C3" s="35"/>
      <c r="D3" s="35">
        <v>100</v>
      </c>
      <c r="E3" s="35"/>
      <c r="F3" s="35"/>
    </row>
    <row r="4" spans="1:6" x14ac:dyDescent="0.25">
      <c r="A4" s="35"/>
      <c r="B4" s="41" t="s">
        <v>79</v>
      </c>
      <c r="C4" s="35"/>
      <c r="D4" s="35">
        <v>20</v>
      </c>
      <c r="E4" s="35"/>
      <c r="F4" s="35"/>
    </row>
    <row r="5" spans="1:6" x14ac:dyDescent="0.25">
      <c r="A5" s="10" t="s">
        <v>77</v>
      </c>
      <c r="B5" t="s">
        <v>23</v>
      </c>
      <c r="D5">
        <f>D3*D4</f>
        <v>2000</v>
      </c>
    </row>
    <row r="7" spans="1:6" x14ac:dyDescent="0.25">
      <c r="A7" s="6" t="s">
        <v>9</v>
      </c>
      <c r="B7" s="7">
        <v>120000</v>
      </c>
      <c r="C7" s="6"/>
      <c r="D7" s="6"/>
      <c r="E7" s="6"/>
      <c r="F7" s="6"/>
    </row>
    <row r="8" spans="1:6" x14ac:dyDescent="0.25">
      <c r="A8" s="6" t="s">
        <v>80</v>
      </c>
      <c r="B8" s="7">
        <f>B7*20%</f>
        <v>24000</v>
      </c>
      <c r="C8" s="6"/>
      <c r="D8" s="6"/>
      <c r="E8" s="6"/>
      <c r="F8" s="6"/>
    </row>
    <row r="9" spans="1:6" x14ac:dyDescent="0.25">
      <c r="A9" s="6" t="s">
        <v>10</v>
      </c>
      <c r="B9" s="7">
        <f>B7-B8</f>
        <v>96000</v>
      </c>
      <c r="C9" s="6"/>
      <c r="D9" s="6"/>
      <c r="E9" s="6"/>
      <c r="F9" s="6"/>
    </row>
    <row r="10" spans="1:6" x14ac:dyDescent="0.25">
      <c r="A10" s="6" t="s">
        <v>11</v>
      </c>
      <c r="B10" s="7">
        <v>60</v>
      </c>
      <c r="C10" s="7">
        <f>B9/B10</f>
        <v>1600</v>
      </c>
      <c r="D10" s="6"/>
      <c r="E10" s="6"/>
      <c r="F10" s="6"/>
    </row>
    <row r="11" spans="1:6" x14ac:dyDescent="0.25">
      <c r="A11" s="6" t="s">
        <v>13</v>
      </c>
      <c r="B11" s="15">
        <v>0.13750000000000001</v>
      </c>
      <c r="C11" s="8">
        <f>B7*B11/12</f>
        <v>1375</v>
      </c>
      <c r="D11" s="6"/>
      <c r="E11" s="6"/>
      <c r="F11" s="6"/>
    </row>
    <row r="13" spans="1:6" x14ac:dyDescent="0.25">
      <c r="A13" s="1" t="s">
        <v>0</v>
      </c>
      <c r="B13" s="1" t="s">
        <v>8</v>
      </c>
      <c r="C13" s="1" t="s">
        <v>21</v>
      </c>
      <c r="D13" s="1" t="s">
        <v>1</v>
      </c>
    </row>
    <row r="14" spans="1:6" x14ac:dyDescent="0.25">
      <c r="A14" s="2" t="s">
        <v>2</v>
      </c>
      <c r="B14" s="2">
        <v>6.6</v>
      </c>
      <c r="C14" s="2">
        <v>4</v>
      </c>
      <c r="D14" s="3">
        <f t="shared" ref="D14:D20" si="0">B14/C14</f>
        <v>1.65</v>
      </c>
    </row>
    <row r="15" spans="1:6" x14ac:dyDescent="0.25">
      <c r="A15" s="2" t="s">
        <v>6</v>
      </c>
      <c r="B15" s="3">
        <v>400</v>
      </c>
      <c r="C15" s="2">
        <f>D5</f>
        <v>2000</v>
      </c>
      <c r="D15" s="3">
        <f t="shared" si="0"/>
        <v>0.2</v>
      </c>
    </row>
    <row r="16" spans="1:6" x14ac:dyDescent="0.25">
      <c r="A16" s="2" t="s">
        <v>20</v>
      </c>
      <c r="B16" s="3"/>
      <c r="C16" s="2">
        <f>C15*12</f>
        <v>24000</v>
      </c>
      <c r="D16" s="3">
        <f t="shared" si="0"/>
        <v>0</v>
      </c>
    </row>
    <row r="17" spans="1:4" x14ac:dyDescent="0.25">
      <c r="A17" s="2" t="s">
        <v>3</v>
      </c>
      <c r="B17" s="3">
        <v>600</v>
      </c>
      <c r="C17" s="2">
        <f>C15</f>
        <v>2000</v>
      </c>
      <c r="D17" s="3">
        <f t="shared" si="0"/>
        <v>0.3</v>
      </c>
    </row>
    <row r="18" spans="1:4" x14ac:dyDescent="0.25">
      <c r="A18" s="2" t="s">
        <v>28</v>
      </c>
      <c r="B18" s="3">
        <f>4*950</f>
        <v>3800</v>
      </c>
      <c r="C18" s="2">
        <v>70000</v>
      </c>
      <c r="D18" s="3">
        <f t="shared" si="0"/>
        <v>5.4285714285714284E-2</v>
      </c>
    </row>
    <row r="19" spans="1:4" x14ac:dyDescent="0.25">
      <c r="A19" s="2" t="s">
        <v>26</v>
      </c>
      <c r="B19" s="3">
        <v>250</v>
      </c>
      <c r="C19" s="2">
        <f>C17</f>
        <v>2000</v>
      </c>
      <c r="D19" s="3">
        <f t="shared" si="0"/>
        <v>0.125</v>
      </c>
    </row>
    <row r="20" spans="1:4" x14ac:dyDescent="0.25">
      <c r="A20" s="2" t="s">
        <v>4</v>
      </c>
      <c r="B20" s="3">
        <f>I60</f>
        <v>5146.9285858585863</v>
      </c>
      <c r="C20" s="2">
        <f>C17</f>
        <v>2000</v>
      </c>
      <c r="D20" s="3">
        <f t="shared" si="0"/>
        <v>2.5734642929292932</v>
      </c>
    </row>
    <row r="21" spans="1:4" x14ac:dyDescent="0.25">
      <c r="A21" s="2" t="s">
        <v>12</v>
      </c>
      <c r="B21" s="3">
        <f>C10</f>
        <v>1600</v>
      </c>
      <c r="C21" s="2">
        <f>C20</f>
        <v>2000</v>
      </c>
      <c r="D21" s="3">
        <f t="shared" ref="D21:D22" si="1">B21/C21</f>
        <v>0.8</v>
      </c>
    </row>
    <row r="22" spans="1:4" x14ac:dyDescent="0.25">
      <c r="A22" s="2" t="s">
        <v>14</v>
      </c>
      <c r="B22" s="9">
        <f>C11</f>
        <v>1375</v>
      </c>
      <c r="C22" s="2">
        <f>C21</f>
        <v>2000</v>
      </c>
      <c r="D22" s="3">
        <f t="shared" si="1"/>
        <v>0.6875</v>
      </c>
    </row>
    <row r="23" spans="1:4" x14ac:dyDescent="0.25">
      <c r="A23" s="4" t="s">
        <v>24</v>
      </c>
      <c r="B23" s="4"/>
      <c r="C23" s="4" t="s">
        <v>5</v>
      </c>
      <c r="D23" s="5">
        <f>SUM(D14:D22)</f>
        <v>6.3902500072150072</v>
      </c>
    </row>
    <row r="25" spans="1:4" x14ac:dyDescent="0.25">
      <c r="A25" s="2" t="s">
        <v>17</v>
      </c>
      <c r="B25" s="2"/>
      <c r="C25" s="11">
        <v>0.15</v>
      </c>
      <c r="D25" s="9">
        <f>D23*C25</f>
        <v>0.958537501082251</v>
      </c>
    </row>
    <row r="26" spans="1:4" x14ac:dyDescent="0.25">
      <c r="A26" s="2" t="s">
        <v>18</v>
      </c>
      <c r="B26" s="2"/>
      <c r="C26" s="11">
        <v>0.15</v>
      </c>
      <c r="D26" s="9">
        <f>D23*C26</f>
        <v>0.958537501082251</v>
      </c>
    </row>
    <row r="27" spans="1:4" x14ac:dyDescent="0.25">
      <c r="A27" s="12" t="s">
        <v>15</v>
      </c>
      <c r="B27" s="12"/>
      <c r="C27" s="12"/>
      <c r="D27" s="13">
        <f>D26+D25+D23</f>
        <v>8.3073250093795092</v>
      </c>
    </row>
    <row r="28" spans="1:4" x14ac:dyDescent="0.25">
      <c r="A28" s="2" t="s">
        <v>16</v>
      </c>
      <c r="B28" s="2"/>
      <c r="C28" s="14">
        <v>6.6500000000000004E-2</v>
      </c>
      <c r="D28" s="9">
        <f>D27*C28</f>
        <v>0.55243711312373744</v>
      </c>
    </row>
    <row r="29" spans="1:4" x14ac:dyDescent="0.25">
      <c r="A29" s="2" t="s">
        <v>19</v>
      </c>
      <c r="B29" s="2"/>
      <c r="C29" s="11"/>
      <c r="D29" s="9"/>
    </row>
    <row r="30" spans="1:4" x14ac:dyDescent="0.25">
      <c r="A30" s="12" t="s">
        <v>25</v>
      </c>
      <c r="B30" s="12"/>
      <c r="C30" s="12"/>
      <c r="D30" s="13">
        <f>D27+D28</f>
        <v>8.8597621225032466</v>
      </c>
    </row>
    <row r="31" spans="1:4" x14ac:dyDescent="0.25">
      <c r="A31" s="16" t="s">
        <v>27</v>
      </c>
      <c r="B31" s="2"/>
      <c r="C31" s="2">
        <f>D5</f>
        <v>2000</v>
      </c>
      <c r="D31" s="9">
        <f>D30*C31</f>
        <v>17719.524245006494</v>
      </c>
    </row>
    <row r="33" spans="1:9" ht="50.25" customHeight="1" x14ac:dyDescent="0.25">
      <c r="A33" s="51" t="s">
        <v>85</v>
      </c>
      <c r="B33" s="51"/>
      <c r="C33" s="51"/>
      <c r="D33" s="51"/>
    </row>
    <row r="34" spans="1:9" x14ac:dyDescent="0.25">
      <c r="A34" s="10" t="s">
        <v>62</v>
      </c>
      <c r="D34" s="17"/>
    </row>
    <row r="35" spans="1:9" x14ac:dyDescent="0.25">
      <c r="A35" s="12" t="s">
        <v>81</v>
      </c>
      <c r="B35" s="2"/>
      <c r="C35" s="3">
        <v>2933.17</v>
      </c>
      <c r="D35" s="9">
        <v>220</v>
      </c>
    </row>
    <row r="36" spans="1:9" x14ac:dyDescent="0.25">
      <c r="A36" s="2" t="s">
        <v>82</v>
      </c>
      <c r="B36" s="2"/>
      <c r="C36" s="3">
        <f>C35/D35*200</f>
        <v>2666.5181818181818</v>
      </c>
      <c r="D36" s="9"/>
    </row>
    <row r="37" spans="1:9" x14ac:dyDescent="0.25">
      <c r="A37" s="2" t="s">
        <v>52</v>
      </c>
      <c r="B37" s="11">
        <v>0.2</v>
      </c>
      <c r="C37" s="9">
        <f>C36*B37</f>
        <v>533.30363636363643</v>
      </c>
      <c r="D37" s="2"/>
    </row>
    <row r="38" spans="1:9" x14ac:dyDescent="0.25">
      <c r="A38" s="32" t="s">
        <v>60</v>
      </c>
      <c r="B38" s="11"/>
      <c r="C38" s="9"/>
      <c r="D38" s="13">
        <f>C37+C36</f>
        <v>3199.8218181818183</v>
      </c>
    </row>
    <row r="39" spans="1:9" x14ac:dyDescent="0.25">
      <c r="A39" s="2" t="s">
        <v>53</v>
      </c>
      <c r="B39" s="2">
        <v>20</v>
      </c>
      <c r="C39" s="3">
        <v>9.4</v>
      </c>
      <c r="D39" s="3">
        <f>C39*B39</f>
        <v>188</v>
      </c>
    </row>
    <row r="40" spans="1:9" x14ac:dyDescent="0.25">
      <c r="A40" s="2" t="s">
        <v>54</v>
      </c>
      <c r="B40" s="2">
        <v>1</v>
      </c>
      <c r="C40" s="3">
        <v>242.03</v>
      </c>
      <c r="D40" s="3">
        <f>B40*C40</f>
        <v>242.03</v>
      </c>
    </row>
    <row r="41" spans="1:9" x14ac:dyDescent="0.25">
      <c r="A41" s="2" t="s">
        <v>83</v>
      </c>
      <c r="B41" s="2"/>
      <c r="C41" s="42">
        <v>0.1</v>
      </c>
      <c r="D41" s="3">
        <f>-D40*C41</f>
        <v>-24.203000000000003</v>
      </c>
    </row>
    <row r="42" spans="1:9" x14ac:dyDescent="0.25">
      <c r="A42" s="2" t="s">
        <v>84</v>
      </c>
      <c r="B42" s="2"/>
      <c r="C42" s="42">
        <v>0.06</v>
      </c>
      <c r="D42" s="3">
        <f>-C36*C42</f>
        <v>-159.9910909090909</v>
      </c>
      <c r="E42" s="17"/>
    </row>
    <row r="43" spans="1:9" x14ac:dyDescent="0.25">
      <c r="A43" s="12" t="s">
        <v>55</v>
      </c>
      <c r="B43" s="12"/>
      <c r="C43" s="12"/>
      <c r="D43" s="13">
        <f>SUM(D38:D42)</f>
        <v>3445.6577272727277</v>
      </c>
    </row>
    <row r="44" spans="1:9" x14ac:dyDescent="0.25">
      <c r="A44" s="2" t="s">
        <v>56</v>
      </c>
      <c r="B44" s="2"/>
      <c r="C44" s="2"/>
      <c r="D44" s="9">
        <f>D43/12</f>
        <v>287.13814393939396</v>
      </c>
    </row>
    <row r="45" spans="1:9" x14ac:dyDescent="0.25">
      <c r="A45" s="2" t="s">
        <v>57</v>
      </c>
      <c r="B45" s="2"/>
      <c r="C45" s="2"/>
      <c r="D45" s="3">
        <f>(D43/3)/12</f>
        <v>95.712714646464647</v>
      </c>
    </row>
    <row r="46" spans="1:9" x14ac:dyDescent="0.25">
      <c r="A46" s="12" t="s">
        <v>58</v>
      </c>
      <c r="B46" s="12"/>
      <c r="C46" s="12"/>
      <c r="D46" s="31">
        <f>D45+D44+D43</f>
        <v>3828.5085858585862</v>
      </c>
      <c r="E46" s="10" t="s">
        <v>59</v>
      </c>
      <c r="F46" s="10"/>
      <c r="G46" s="10"/>
      <c r="H46" s="10"/>
      <c r="I46" s="30">
        <f>D38+D44+D45</f>
        <v>3582.6726767676769</v>
      </c>
    </row>
    <row r="48" spans="1:9" ht="30" x14ac:dyDescent="0.25">
      <c r="A48" s="18" t="s">
        <v>29</v>
      </c>
      <c r="B48" s="45" t="s">
        <v>30</v>
      </c>
      <c r="C48" s="46"/>
      <c r="D48" s="46"/>
      <c r="E48" s="46"/>
      <c r="F48" s="46"/>
      <c r="G48" s="47"/>
      <c r="H48" s="19" t="s">
        <v>31</v>
      </c>
      <c r="I48" s="19" t="s">
        <v>32</v>
      </c>
    </row>
    <row r="49" spans="1:9" x14ac:dyDescent="0.25">
      <c r="A49" s="20" t="s">
        <v>33</v>
      </c>
      <c r="B49" s="48" t="s">
        <v>34</v>
      </c>
      <c r="C49" s="49"/>
      <c r="D49" s="49"/>
      <c r="E49" s="49"/>
      <c r="F49" s="49"/>
      <c r="G49" s="50"/>
      <c r="H49" s="21">
        <v>0.2</v>
      </c>
      <c r="I49" s="22">
        <f>$I$46*H49</f>
        <v>716.53453535353538</v>
      </c>
    </row>
    <row r="50" spans="1:9" x14ac:dyDescent="0.25">
      <c r="A50" s="20" t="s">
        <v>35</v>
      </c>
      <c r="B50" s="48" t="s">
        <v>36</v>
      </c>
      <c r="C50" s="49"/>
      <c r="D50" s="49"/>
      <c r="E50" s="49"/>
      <c r="F50" s="49"/>
      <c r="G50" s="50"/>
      <c r="H50" s="21">
        <v>1.4999999999999999E-2</v>
      </c>
      <c r="I50" s="22">
        <f t="shared" ref="I50:I56" si="2">$I$46*H50</f>
        <v>53.740090151515155</v>
      </c>
    </row>
    <row r="51" spans="1:9" x14ac:dyDescent="0.25">
      <c r="A51" s="20" t="s">
        <v>37</v>
      </c>
      <c r="B51" s="48" t="s">
        <v>38</v>
      </c>
      <c r="C51" s="49"/>
      <c r="D51" s="49"/>
      <c r="E51" s="49"/>
      <c r="F51" s="49"/>
      <c r="G51" s="50"/>
      <c r="H51" s="21">
        <v>0.01</v>
      </c>
      <c r="I51" s="22">
        <f t="shared" si="2"/>
        <v>35.826726767676767</v>
      </c>
    </row>
    <row r="52" spans="1:9" x14ac:dyDescent="0.25">
      <c r="A52" s="20" t="s">
        <v>39</v>
      </c>
      <c r="B52" s="48" t="s">
        <v>40</v>
      </c>
      <c r="C52" s="49"/>
      <c r="D52" s="49"/>
      <c r="E52" s="49"/>
      <c r="F52" s="49"/>
      <c r="G52" s="50"/>
      <c r="H52" s="21">
        <v>2E-3</v>
      </c>
      <c r="I52" s="22">
        <f t="shared" si="2"/>
        <v>7.1653453535353542</v>
      </c>
    </row>
    <row r="53" spans="1:9" x14ac:dyDescent="0.25">
      <c r="A53" s="20" t="s">
        <v>41</v>
      </c>
      <c r="B53" s="55" t="s">
        <v>42</v>
      </c>
      <c r="C53" s="56"/>
      <c r="D53" s="56"/>
      <c r="E53" s="56"/>
      <c r="F53" s="56"/>
      <c r="G53" s="57"/>
      <c r="H53" s="21">
        <v>2.5000000000000001E-2</v>
      </c>
      <c r="I53" s="22">
        <f t="shared" si="2"/>
        <v>89.566816919191922</v>
      </c>
    </row>
    <row r="54" spans="1:9" x14ac:dyDescent="0.25">
      <c r="A54" s="20" t="s">
        <v>43</v>
      </c>
      <c r="B54" s="55" t="s">
        <v>44</v>
      </c>
      <c r="C54" s="56"/>
      <c r="D54" s="56"/>
      <c r="E54" s="56"/>
      <c r="F54" s="56"/>
      <c r="G54" s="57"/>
      <c r="H54" s="23">
        <v>0.08</v>
      </c>
      <c r="I54" s="22">
        <f t="shared" si="2"/>
        <v>286.61381414141414</v>
      </c>
    </row>
    <row r="55" spans="1:9" x14ac:dyDescent="0.25">
      <c r="A55" s="20" t="s">
        <v>45</v>
      </c>
      <c r="B55" s="58" t="s">
        <v>46</v>
      </c>
      <c r="C55" s="59"/>
      <c r="D55" s="24" t="s">
        <v>47</v>
      </c>
      <c r="E55" s="25">
        <v>0.03</v>
      </c>
      <c r="F55" s="24" t="s">
        <v>48</v>
      </c>
      <c r="G55" s="26">
        <v>1</v>
      </c>
      <c r="H55" s="27">
        <f>ROUND((E55*G55),6)</f>
        <v>0.03</v>
      </c>
      <c r="I55" s="22">
        <f t="shared" si="2"/>
        <v>107.48018030303031</v>
      </c>
    </row>
    <row r="56" spans="1:9" x14ac:dyDescent="0.25">
      <c r="A56" s="20" t="s">
        <v>49</v>
      </c>
      <c r="B56" s="55" t="s">
        <v>50</v>
      </c>
      <c r="C56" s="56"/>
      <c r="D56" s="56"/>
      <c r="E56" s="56"/>
      <c r="F56" s="56"/>
      <c r="G56" s="57"/>
      <c r="H56" s="21">
        <v>6.0000000000000001E-3</v>
      </c>
      <c r="I56" s="22">
        <f t="shared" si="2"/>
        <v>21.496036060606063</v>
      </c>
    </row>
    <row r="57" spans="1:9" x14ac:dyDescent="0.25">
      <c r="A57" s="52" t="s">
        <v>51</v>
      </c>
      <c r="B57" s="53"/>
      <c r="C57" s="53"/>
      <c r="D57" s="53"/>
      <c r="E57" s="53"/>
      <c r="F57" s="53"/>
      <c r="G57" s="54"/>
      <c r="H57" s="28">
        <f>SUM(H49:H56)</f>
        <v>0.3680000000000001</v>
      </c>
      <c r="I57" s="29">
        <f>TRUNC(SUM(I49:I56),2)</f>
        <v>1318.42</v>
      </c>
    </row>
    <row r="59" spans="1:9" x14ac:dyDescent="0.25">
      <c r="A59" s="33" t="s">
        <v>63</v>
      </c>
      <c r="B59" s="2"/>
      <c r="C59" s="2"/>
      <c r="D59" s="2"/>
      <c r="E59" s="2"/>
      <c r="F59" s="2"/>
      <c r="G59" s="2"/>
      <c r="H59" s="2"/>
      <c r="I59" s="13">
        <f>D46+I57</f>
        <v>5146.9285858585863</v>
      </c>
    </row>
    <row r="60" spans="1:9" x14ac:dyDescent="0.25">
      <c r="A60" s="34" t="s">
        <v>61</v>
      </c>
      <c r="B60" s="2"/>
      <c r="C60" s="2"/>
      <c r="D60" s="2"/>
      <c r="E60" s="2"/>
      <c r="F60" s="2"/>
      <c r="G60" s="2"/>
      <c r="H60" s="11">
        <v>1</v>
      </c>
      <c r="I60" s="13">
        <f>I59*H60</f>
        <v>5146.9285858585863</v>
      </c>
    </row>
    <row r="64" spans="1:9" x14ac:dyDescent="0.25">
      <c r="A64" s="36" t="s">
        <v>64</v>
      </c>
    </row>
    <row r="65" spans="1:1" x14ac:dyDescent="0.25">
      <c r="A65" s="37" t="s">
        <v>65</v>
      </c>
    </row>
    <row r="66" spans="1:1" x14ac:dyDescent="0.25">
      <c r="A66" s="37" t="s">
        <v>66</v>
      </c>
    </row>
    <row r="67" spans="1:1" x14ac:dyDescent="0.25">
      <c r="A67" s="37" t="s">
        <v>67</v>
      </c>
    </row>
    <row r="68" spans="1:1" x14ac:dyDescent="0.25">
      <c r="A68" s="37" t="s">
        <v>68</v>
      </c>
    </row>
    <row r="69" spans="1:1" x14ac:dyDescent="0.25">
      <c r="A69" s="37"/>
    </row>
    <row r="70" spans="1:1" x14ac:dyDescent="0.25">
      <c r="A70" s="37"/>
    </row>
    <row r="71" spans="1:1" x14ac:dyDescent="0.25">
      <c r="A71" s="37"/>
    </row>
    <row r="72" spans="1:1" x14ac:dyDescent="0.25">
      <c r="A72" s="38" t="s">
        <v>69</v>
      </c>
    </row>
    <row r="73" spans="1:1" x14ac:dyDescent="0.25">
      <c r="A73" s="39" t="s">
        <v>70</v>
      </c>
    </row>
    <row r="74" spans="1:1" x14ac:dyDescent="0.25">
      <c r="A74" s="39" t="s">
        <v>71</v>
      </c>
    </row>
    <row r="75" spans="1:1" x14ac:dyDescent="0.25">
      <c r="A75" s="39" t="s">
        <v>72</v>
      </c>
    </row>
    <row r="76" spans="1:1" x14ac:dyDescent="0.25">
      <c r="A76" s="39" t="s">
        <v>73</v>
      </c>
    </row>
    <row r="77" spans="1:1" x14ac:dyDescent="0.25">
      <c r="A77" s="39" t="s">
        <v>74</v>
      </c>
    </row>
    <row r="78" spans="1:1" x14ac:dyDescent="0.25">
      <c r="A78" s="39" t="s">
        <v>75</v>
      </c>
    </row>
    <row r="79" spans="1:1" x14ac:dyDescent="0.25">
      <c r="A79" s="40" t="s">
        <v>76</v>
      </c>
    </row>
  </sheetData>
  <mergeCells count="12">
    <mergeCell ref="A57:G57"/>
    <mergeCell ref="B52:G52"/>
    <mergeCell ref="B53:G53"/>
    <mergeCell ref="B54:G54"/>
    <mergeCell ref="B55:C55"/>
    <mergeCell ref="B56:G56"/>
    <mergeCell ref="A1:F1"/>
    <mergeCell ref="B48:G48"/>
    <mergeCell ref="B49:G49"/>
    <mergeCell ref="B50:G50"/>
    <mergeCell ref="B51:G51"/>
    <mergeCell ref="A33:D33"/>
  </mergeCells>
  <pageMargins left="0.511811024" right="0.511811024" top="0.78740157499999996" bottom="0.78740157499999996" header="0.31496062000000002" footer="0.31496062000000002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79"/>
  <sheetViews>
    <sheetView workbookViewId="0">
      <selection sqref="A1:XFD1048576"/>
    </sheetView>
  </sheetViews>
  <sheetFormatPr defaultRowHeight="15" x14ac:dyDescent="0.25"/>
  <cols>
    <col min="1" max="1" width="32.28515625" bestFit="1" customWidth="1"/>
    <col min="2" max="2" width="11.28515625" bestFit="1" customWidth="1"/>
    <col min="3" max="3" width="17" bestFit="1" customWidth="1"/>
    <col min="4" max="4" width="10.5703125" bestFit="1" customWidth="1"/>
    <col min="5" max="5" width="10.7109375" customWidth="1"/>
    <col min="9" max="9" width="9.5703125" bestFit="1" customWidth="1"/>
  </cols>
  <sheetData>
    <row r="1" spans="1:6" x14ac:dyDescent="0.25">
      <c r="A1" s="44" t="s">
        <v>7</v>
      </c>
      <c r="B1" s="44"/>
      <c r="C1" s="44"/>
      <c r="D1" s="44"/>
      <c r="E1" s="44"/>
      <c r="F1" s="44"/>
    </row>
    <row r="2" spans="1:6" x14ac:dyDescent="0.25">
      <c r="A2" s="43" t="s">
        <v>86</v>
      </c>
      <c r="B2" s="43"/>
      <c r="C2" s="43"/>
      <c r="D2" s="43"/>
      <c r="E2" s="43"/>
      <c r="F2" s="43"/>
    </row>
    <row r="3" spans="1:6" x14ac:dyDescent="0.25">
      <c r="A3" s="43"/>
      <c r="B3" s="41" t="s">
        <v>78</v>
      </c>
      <c r="C3" s="43"/>
      <c r="D3" s="43">
        <v>100</v>
      </c>
      <c r="E3" s="43"/>
      <c r="F3" s="43"/>
    </row>
    <row r="4" spans="1:6" x14ac:dyDescent="0.25">
      <c r="A4" s="43"/>
      <c r="B4" s="41" t="s">
        <v>79</v>
      </c>
      <c r="C4" s="43"/>
      <c r="D4" s="43">
        <v>20</v>
      </c>
      <c r="E4" s="43"/>
      <c r="F4" s="43"/>
    </row>
    <row r="5" spans="1:6" x14ac:dyDescent="0.25">
      <c r="A5" s="10" t="s">
        <v>87</v>
      </c>
      <c r="B5" t="s">
        <v>23</v>
      </c>
      <c r="D5">
        <f>D3*D4</f>
        <v>2000</v>
      </c>
    </row>
    <row r="7" spans="1:6" x14ac:dyDescent="0.25">
      <c r="A7" s="43" t="s">
        <v>9</v>
      </c>
      <c r="B7" s="7">
        <v>120000</v>
      </c>
      <c r="C7" s="43"/>
      <c r="D7" s="43"/>
      <c r="E7" s="43"/>
      <c r="F7" s="43"/>
    </row>
    <row r="8" spans="1:6" x14ac:dyDescent="0.25">
      <c r="A8" s="43" t="s">
        <v>80</v>
      </c>
      <c r="B8" s="7">
        <f>B7*20%</f>
        <v>24000</v>
      </c>
      <c r="C8" s="43"/>
      <c r="D8" s="43"/>
      <c r="E8" s="43"/>
      <c r="F8" s="43"/>
    </row>
    <row r="9" spans="1:6" x14ac:dyDescent="0.25">
      <c r="A9" s="43" t="s">
        <v>10</v>
      </c>
      <c r="B9" s="7">
        <f>B7-B8</f>
        <v>96000</v>
      </c>
      <c r="C9" s="43"/>
      <c r="D9" s="43"/>
      <c r="E9" s="43"/>
      <c r="F9" s="43"/>
    </row>
    <row r="10" spans="1:6" x14ac:dyDescent="0.25">
      <c r="A10" s="43" t="s">
        <v>11</v>
      </c>
      <c r="B10" s="7">
        <v>60</v>
      </c>
      <c r="C10" s="7">
        <f>B9/B10</f>
        <v>1600</v>
      </c>
      <c r="D10" s="43"/>
      <c r="E10" s="43"/>
      <c r="F10" s="43"/>
    </row>
    <row r="11" spans="1:6" x14ac:dyDescent="0.25">
      <c r="A11" s="43" t="s">
        <v>13</v>
      </c>
      <c r="B11" s="15">
        <v>0.13750000000000001</v>
      </c>
      <c r="C11" s="8">
        <f>B7*B11/12</f>
        <v>1375</v>
      </c>
      <c r="D11" s="43"/>
      <c r="E11" s="43"/>
      <c r="F11" s="43"/>
    </row>
    <row r="13" spans="1:6" x14ac:dyDescent="0.25">
      <c r="A13" s="1" t="s">
        <v>0</v>
      </c>
      <c r="B13" s="1" t="s">
        <v>8</v>
      </c>
      <c r="C13" s="1" t="s">
        <v>21</v>
      </c>
      <c r="D13" s="1" t="s">
        <v>1</v>
      </c>
    </row>
    <row r="14" spans="1:6" x14ac:dyDescent="0.25">
      <c r="A14" s="2" t="s">
        <v>2</v>
      </c>
      <c r="B14" s="2">
        <v>6.6</v>
      </c>
      <c r="C14" s="2">
        <v>4</v>
      </c>
      <c r="D14" s="3">
        <f t="shared" ref="D14:D22" si="0">B14/C14</f>
        <v>1.65</v>
      </c>
    </row>
    <row r="15" spans="1:6" x14ac:dyDescent="0.25">
      <c r="A15" s="2" t="s">
        <v>6</v>
      </c>
      <c r="B15" s="3">
        <v>400</v>
      </c>
      <c r="C15" s="2">
        <f>D5</f>
        <v>2000</v>
      </c>
      <c r="D15" s="3">
        <f t="shared" si="0"/>
        <v>0.2</v>
      </c>
    </row>
    <row r="16" spans="1:6" x14ac:dyDescent="0.25">
      <c r="A16" s="2" t="s">
        <v>20</v>
      </c>
      <c r="B16" s="3"/>
      <c r="C16" s="2">
        <f>C15*12</f>
        <v>24000</v>
      </c>
      <c r="D16" s="3">
        <f t="shared" si="0"/>
        <v>0</v>
      </c>
    </row>
    <row r="17" spans="1:4" x14ac:dyDescent="0.25">
      <c r="A17" s="2" t="s">
        <v>3</v>
      </c>
      <c r="B17" s="3">
        <v>600</v>
      </c>
      <c r="C17" s="2">
        <f>C15</f>
        <v>2000</v>
      </c>
      <c r="D17" s="3">
        <f t="shared" si="0"/>
        <v>0.3</v>
      </c>
    </row>
    <row r="18" spans="1:4" x14ac:dyDescent="0.25">
      <c r="A18" s="2" t="s">
        <v>28</v>
      </c>
      <c r="B18" s="3">
        <f>4*950</f>
        <v>3800</v>
      </c>
      <c r="C18" s="2">
        <v>70000</v>
      </c>
      <c r="D18" s="3">
        <f t="shared" si="0"/>
        <v>5.4285714285714284E-2</v>
      </c>
    </row>
    <row r="19" spans="1:4" x14ac:dyDescent="0.25">
      <c r="A19" s="2" t="s">
        <v>26</v>
      </c>
      <c r="B19" s="3">
        <v>250</v>
      </c>
      <c r="C19" s="2">
        <f>C17</f>
        <v>2000</v>
      </c>
      <c r="D19" s="3">
        <f t="shared" si="0"/>
        <v>0.125</v>
      </c>
    </row>
    <row r="20" spans="1:4" x14ac:dyDescent="0.25">
      <c r="A20" s="2" t="s">
        <v>4</v>
      </c>
      <c r="B20" s="3">
        <f>I60</f>
        <v>5146.9285858585863</v>
      </c>
      <c r="C20" s="2">
        <f>C17</f>
        <v>2000</v>
      </c>
      <c r="D20" s="3">
        <f t="shared" si="0"/>
        <v>2.5734642929292932</v>
      </c>
    </row>
    <row r="21" spans="1:4" x14ac:dyDescent="0.25">
      <c r="A21" s="2" t="s">
        <v>12</v>
      </c>
      <c r="B21" s="3">
        <f>C10</f>
        <v>1600</v>
      </c>
      <c r="C21" s="2">
        <f>C20</f>
        <v>2000</v>
      </c>
      <c r="D21" s="3">
        <f t="shared" si="0"/>
        <v>0.8</v>
      </c>
    </row>
    <row r="22" spans="1:4" x14ac:dyDescent="0.25">
      <c r="A22" s="2" t="s">
        <v>14</v>
      </c>
      <c r="B22" s="9">
        <f>C11</f>
        <v>1375</v>
      </c>
      <c r="C22" s="2">
        <f>C21</f>
        <v>2000</v>
      </c>
      <c r="D22" s="3">
        <f t="shared" si="0"/>
        <v>0.6875</v>
      </c>
    </row>
    <row r="23" spans="1:4" x14ac:dyDescent="0.25">
      <c r="A23" s="4" t="s">
        <v>24</v>
      </c>
      <c r="B23" s="4"/>
      <c r="C23" s="4" t="s">
        <v>5</v>
      </c>
      <c r="D23" s="5">
        <f>SUM(D14:D22)</f>
        <v>6.3902500072150072</v>
      </c>
    </row>
    <row r="25" spans="1:4" x14ac:dyDescent="0.25">
      <c r="A25" s="2" t="s">
        <v>17</v>
      </c>
      <c r="B25" s="2"/>
      <c r="C25" s="11">
        <v>0.15</v>
      </c>
      <c r="D25" s="9">
        <f>D23*C25</f>
        <v>0.958537501082251</v>
      </c>
    </row>
    <row r="26" spans="1:4" x14ac:dyDescent="0.25">
      <c r="A26" s="2" t="s">
        <v>18</v>
      </c>
      <c r="B26" s="2"/>
      <c r="C26" s="11">
        <v>0.15</v>
      </c>
      <c r="D26" s="9">
        <f>D23*C26</f>
        <v>0.958537501082251</v>
      </c>
    </row>
    <row r="27" spans="1:4" x14ac:dyDescent="0.25">
      <c r="A27" s="12" t="s">
        <v>15</v>
      </c>
      <c r="B27" s="12"/>
      <c r="C27" s="12"/>
      <c r="D27" s="13">
        <f>D26+D25+D23</f>
        <v>8.3073250093795092</v>
      </c>
    </row>
    <row r="28" spans="1:4" x14ac:dyDescent="0.25">
      <c r="A28" s="2" t="s">
        <v>16</v>
      </c>
      <c r="B28" s="2"/>
      <c r="C28" s="14">
        <v>6.6500000000000004E-2</v>
      </c>
      <c r="D28" s="9">
        <f>D27*C28</f>
        <v>0.55243711312373744</v>
      </c>
    </row>
    <row r="29" spans="1:4" x14ac:dyDescent="0.25">
      <c r="A29" s="2" t="s">
        <v>19</v>
      </c>
      <c r="B29" s="2"/>
      <c r="C29" s="11"/>
      <c r="D29" s="9"/>
    </row>
    <row r="30" spans="1:4" x14ac:dyDescent="0.25">
      <c r="A30" s="12" t="s">
        <v>25</v>
      </c>
      <c r="B30" s="12"/>
      <c r="C30" s="12"/>
      <c r="D30" s="13">
        <f>D27+D28</f>
        <v>8.8597621225032466</v>
      </c>
    </row>
    <row r="31" spans="1:4" x14ac:dyDescent="0.25">
      <c r="A31" s="16" t="s">
        <v>27</v>
      </c>
      <c r="B31" s="2"/>
      <c r="C31" s="2">
        <f>D5</f>
        <v>2000</v>
      </c>
      <c r="D31" s="9">
        <f>D30*C31</f>
        <v>17719.524245006494</v>
      </c>
    </row>
    <row r="33" spans="1:9" ht="50.25" customHeight="1" x14ac:dyDescent="0.25">
      <c r="A33" s="51" t="s">
        <v>85</v>
      </c>
      <c r="B33" s="51"/>
      <c r="C33" s="51"/>
      <c r="D33" s="51"/>
    </row>
    <row r="34" spans="1:9" x14ac:dyDescent="0.25">
      <c r="A34" s="10" t="s">
        <v>62</v>
      </c>
      <c r="D34" s="17"/>
    </row>
    <row r="35" spans="1:9" x14ac:dyDescent="0.25">
      <c r="A35" s="12" t="s">
        <v>81</v>
      </c>
      <c r="B35" s="2"/>
      <c r="C35" s="3">
        <v>2933.17</v>
      </c>
      <c r="D35" s="9">
        <v>220</v>
      </c>
    </row>
    <row r="36" spans="1:9" x14ac:dyDescent="0.25">
      <c r="A36" s="2" t="s">
        <v>82</v>
      </c>
      <c r="B36" s="2"/>
      <c r="C36" s="3">
        <f>C35/D35*200</f>
        <v>2666.5181818181818</v>
      </c>
      <c r="D36" s="9"/>
    </row>
    <row r="37" spans="1:9" x14ac:dyDescent="0.25">
      <c r="A37" s="2" t="s">
        <v>52</v>
      </c>
      <c r="B37" s="11">
        <v>0.2</v>
      </c>
      <c r="C37" s="9">
        <f>C36*B37</f>
        <v>533.30363636363643</v>
      </c>
      <c r="D37" s="2"/>
    </row>
    <row r="38" spans="1:9" x14ac:dyDescent="0.25">
      <c r="A38" s="32" t="s">
        <v>60</v>
      </c>
      <c r="B38" s="11"/>
      <c r="C38" s="9"/>
      <c r="D38" s="13">
        <f>C37+C36</f>
        <v>3199.8218181818183</v>
      </c>
    </row>
    <row r="39" spans="1:9" x14ac:dyDescent="0.25">
      <c r="A39" s="2" t="s">
        <v>53</v>
      </c>
      <c r="B39" s="2">
        <v>20</v>
      </c>
      <c r="C39" s="3">
        <v>9.4</v>
      </c>
      <c r="D39" s="3">
        <f>C39*B39</f>
        <v>188</v>
      </c>
    </row>
    <row r="40" spans="1:9" x14ac:dyDescent="0.25">
      <c r="A40" s="2" t="s">
        <v>54</v>
      </c>
      <c r="B40" s="2">
        <v>1</v>
      </c>
      <c r="C40" s="3">
        <v>242.03</v>
      </c>
      <c r="D40" s="3">
        <f>B40*C40</f>
        <v>242.03</v>
      </c>
    </row>
    <row r="41" spans="1:9" x14ac:dyDescent="0.25">
      <c r="A41" s="2" t="s">
        <v>83</v>
      </c>
      <c r="B41" s="2"/>
      <c r="C41" s="42">
        <v>0.1</v>
      </c>
      <c r="D41" s="3">
        <f>-D40*C41</f>
        <v>-24.203000000000003</v>
      </c>
    </row>
    <row r="42" spans="1:9" x14ac:dyDescent="0.25">
      <c r="A42" s="2" t="s">
        <v>84</v>
      </c>
      <c r="B42" s="2"/>
      <c r="C42" s="42">
        <v>0.06</v>
      </c>
      <c r="D42" s="3">
        <f>-C36*C42</f>
        <v>-159.9910909090909</v>
      </c>
      <c r="E42" s="17"/>
    </row>
    <row r="43" spans="1:9" x14ac:dyDescent="0.25">
      <c r="A43" s="12" t="s">
        <v>55</v>
      </c>
      <c r="B43" s="12"/>
      <c r="C43" s="12"/>
      <c r="D43" s="13">
        <f>SUM(D38:D42)</f>
        <v>3445.6577272727277</v>
      </c>
    </row>
    <row r="44" spans="1:9" x14ac:dyDescent="0.25">
      <c r="A44" s="2" t="s">
        <v>56</v>
      </c>
      <c r="B44" s="2"/>
      <c r="C44" s="2"/>
      <c r="D44" s="9">
        <f>D43/12</f>
        <v>287.13814393939396</v>
      </c>
    </row>
    <row r="45" spans="1:9" x14ac:dyDescent="0.25">
      <c r="A45" s="2" t="s">
        <v>57</v>
      </c>
      <c r="B45" s="2"/>
      <c r="C45" s="2"/>
      <c r="D45" s="3">
        <f>(D43/3)/12</f>
        <v>95.712714646464647</v>
      </c>
    </row>
    <row r="46" spans="1:9" x14ac:dyDescent="0.25">
      <c r="A46" s="12" t="s">
        <v>58</v>
      </c>
      <c r="B46" s="12"/>
      <c r="C46" s="12"/>
      <c r="D46" s="31">
        <f>D45+D44+D43</f>
        <v>3828.5085858585862</v>
      </c>
      <c r="E46" s="10" t="s">
        <v>59</v>
      </c>
      <c r="F46" s="10"/>
      <c r="G46" s="10"/>
      <c r="H46" s="10"/>
      <c r="I46" s="30">
        <f>D38+D44+D45</f>
        <v>3582.6726767676769</v>
      </c>
    </row>
    <row r="48" spans="1:9" ht="30" x14ac:dyDescent="0.25">
      <c r="A48" s="18" t="s">
        <v>29</v>
      </c>
      <c r="B48" s="45" t="s">
        <v>30</v>
      </c>
      <c r="C48" s="46"/>
      <c r="D48" s="46"/>
      <c r="E48" s="46"/>
      <c r="F48" s="46"/>
      <c r="G48" s="47"/>
      <c r="H48" s="19" t="s">
        <v>31</v>
      </c>
      <c r="I48" s="19" t="s">
        <v>32</v>
      </c>
    </row>
    <row r="49" spans="1:9" x14ac:dyDescent="0.25">
      <c r="A49" s="20" t="s">
        <v>33</v>
      </c>
      <c r="B49" s="48" t="s">
        <v>34</v>
      </c>
      <c r="C49" s="49"/>
      <c r="D49" s="49"/>
      <c r="E49" s="49"/>
      <c r="F49" s="49"/>
      <c r="G49" s="50"/>
      <c r="H49" s="21">
        <v>0.2</v>
      </c>
      <c r="I49" s="22">
        <f>$I$46*H49</f>
        <v>716.53453535353538</v>
      </c>
    </row>
    <row r="50" spans="1:9" x14ac:dyDescent="0.25">
      <c r="A50" s="20" t="s">
        <v>35</v>
      </c>
      <c r="B50" s="48" t="s">
        <v>36</v>
      </c>
      <c r="C50" s="49"/>
      <c r="D50" s="49"/>
      <c r="E50" s="49"/>
      <c r="F50" s="49"/>
      <c r="G50" s="50"/>
      <c r="H50" s="21">
        <v>1.4999999999999999E-2</v>
      </c>
      <c r="I50" s="22">
        <f t="shared" ref="I50:I56" si="1">$I$46*H50</f>
        <v>53.740090151515155</v>
      </c>
    </row>
    <row r="51" spans="1:9" x14ac:dyDescent="0.25">
      <c r="A51" s="20" t="s">
        <v>37</v>
      </c>
      <c r="B51" s="48" t="s">
        <v>38</v>
      </c>
      <c r="C51" s="49"/>
      <c r="D51" s="49"/>
      <c r="E51" s="49"/>
      <c r="F51" s="49"/>
      <c r="G51" s="50"/>
      <c r="H51" s="21">
        <v>0.01</v>
      </c>
      <c r="I51" s="22">
        <f t="shared" si="1"/>
        <v>35.826726767676767</v>
      </c>
    </row>
    <row r="52" spans="1:9" x14ac:dyDescent="0.25">
      <c r="A52" s="20" t="s">
        <v>39</v>
      </c>
      <c r="B52" s="48" t="s">
        <v>40</v>
      </c>
      <c r="C52" s="49"/>
      <c r="D52" s="49"/>
      <c r="E52" s="49"/>
      <c r="F52" s="49"/>
      <c r="G52" s="50"/>
      <c r="H52" s="21">
        <v>2E-3</v>
      </c>
      <c r="I52" s="22">
        <f t="shared" si="1"/>
        <v>7.1653453535353542</v>
      </c>
    </row>
    <row r="53" spans="1:9" x14ac:dyDescent="0.25">
      <c r="A53" s="20" t="s">
        <v>41</v>
      </c>
      <c r="B53" s="55" t="s">
        <v>42</v>
      </c>
      <c r="C53" s="56"/>
      <c r="D53" s="56"/>
      <c r="E53" s="56"/>
      <c r="F53" s="56"/>
      <c r="G53" s="57"/>
      <c r="H53" s="21">
        <v>2.5000000000000001E-2</v>
      </c>
      <c r="I53" s="22">
        <f t="shared" si="1"/>
        <v>89.566816919191922</v>
      </c>
    </row>
    <row r="54" spans="1:9" x14ac:dyDescent="0.25">
      <c r="A54" s="20" t="s">
        <v>43</v>
      </c>
      <c r="B54" s="55" t="s">
        <v>44</v>
      </c>
      <c r="C54" s="56"/>
      <c r="D54" s="56"/>
      <c r="E54" s="56"/>
      <c r="F54" s="56"/>
      <c r="G54" s="57"/>
      <c r="H54" s="23">
        <v>0.08</v>
      </c>
      <c r="I54" s="22">
        <f t="shared" si="1"/>
        <v>286.61381414141414</v>
      </c>
    </row>
    <row r="55" spans="1:9" x14ac:dyDescent="0.25">
      <c r="A55" s="20" t="s">
        <v>45</v>
      </c>
      <c r="B55" s="58" t="s">
        <v>46</v>
      </c>
      <c r="C55" s="59"/>
      <c r="D55" s="24" t="s">
        <v>47</v>
      </c>
      <c r="E55" s="25">
        <v>0.03</v>
      </c>
      <c r="F55" s="24" t="s">
        <v>48</v>
      </c>
      <c r="G55" s="26">
        <v>1</v>
      </c>
      <c r="H55" s="27">
        <f>ROUND((E55*G55),6)</f>
        <v>0.03</v>
      </c>
      <c r="I55" s="22">
        <f t="shared" si="1"/>
        <v>107.48018030303031</v>
      </c>
    </row>
    <row r="56" spans="1:9" x14ac:dyDescent="0.25">
      <c r="A56" s="20" t="s">
        <v>49</v>
      </c>
      <c r="B56" s="55" t="s">
        <v>50</v>
      </c>
      <c r="C56" s="56"/>
      <c r="D56" s="56"/>
      <c r="E56" s="56"/>
      <c r="F56" s="56"/>
      <c r="G56" s="57"/>
      <c r="H56" s="21">
        <v>6.0000000000000001E-3</v>
      </c>
      <c r="I56" s="22">
        <f t="shared" si="1"/>
        <v>21.496036060606063</v>
      </c>
    </row>
    <row r="57" spans="1:9" x14ac:dyDescent="0.25">
      <c r="A57" s="52" t="s">
        <v>51</v>
      </c>
      <c r="B57" s="53"/>
      <c r="C57" s="53"/>
      <c r="D57" s="53"/>
      <c r="E57" s="53"/>
      <c r="F57" s="53"/>
      <c r="G57" s="54"/>
      <c r="H57" s="28">
        <f>SUM(H49:H56)</f>
        <v>0.3680000000000001</v>
      </c>
      <c r="I57" s="29">
        <f>TRUNC(SUM(I49:I56),2)</f>
        <v>1318.42</v>
      </c>
    </row>
    <row r="59" spans="1:9" x14ac:dyDescent="0.25">
      <c r="A59" s="33" t="s">
        <v>63</v>
      </c>
      <c r="B59" s="2"/>
      <c r="C59" s="2"/>
      <c r="D59" s="2"/>
      <c r="E59" s="2"/>
      <c r="F59" s="2"/>
      <c r="G59" s="2"/>
      <c r="H59" s="2"/>
      <c r="I59" s="13">
        <f>D46+I57</f>
        <v>5146.9285858585863</v>
      </c>
    </row>
    <row r="60" spans="1:9" x14ac:dyDescent="0.25">
      <c r="A60" s="34" t="s">
        <v>61</v>
      </c>
      <c r="B60" s="2"/>
      <c r="C60" s="2"/>
      <c r="D60" s="2"/>
      <c r="E60" s="2"/>
      <c r="F60" s="2"/>
      <c r="G60" s="2"/>
      <c r="H60" s="11">
        <v>1</v>
      </c>
      <c r="I60" s="13">
        <f>I59*H60</f>
        <v>5146.9285858585863</v>
      </c>
    </row>
    <row r="64" spans="1:9" x14ac:dyDescent="0.25">
      <c r="A64" s="36" t="s">
        <v>64</v>
      </c>
    </row>
    <row r="65" spans="1:1" x14ac:dyDescent="0.25">
      <c r="A65" s="37" t="s">
        <v>65</v>
      </c>
    </row>
    <row r="66" spans="1:1" x14ac:dyDescent="0.25">
      <c r="A66" s="37" t="s">
        <v>66</v>
      </c>
    </row>
    <row r="67" spans="1:1" x14ac:dyDescent="0.25">
      <c r="A67" s="37" t="s">
        <v>67</v>
      </c>
    </row>
    <row r="68" spans="1:1" x14ac:dyDescent="0.25">
      <c r="A68" s="37" t="s">
        <v>68</v>
      </c>
    </row>
    <row r="69" spans="1:1" x14ac:dyDescent="0.25">
      <c r="A69" s="37"/>
    </row>
    <row r="70" spans="1:1" x14ac:dyDescent="0.25">
      <c r="A70" s="37"/>
    </row>
    <row r="71" spans="1:1" x14ac:dyDescent="0.25">
      <c r="A71" s="37"/>
    </row>
    <row r="72" spans="1:1" x14ac:dyDescent="0.25">
      <c r="A72" s="38" t="s">
        <v>69</v>
      </c>
    </row>
    <row r="73" spans="1:1" x14ac:dyDescent="0.25">
      <c r="A73" s="39" t="s">
        <v>70</v>
      </c>
    </row>
    <row r="74" spans="1:1" x14ac:dyDescent="0.25">
      <c r="A74" s="39" t="s">
        <v>71</v>
      </c>
    </row>
    <row r="75" spans="1:1" x14ac:dyDescent="0.25">
      <c r="A75" s="39" t="s">
        <v>72</v>
      </c>
    </row>
    <row r="76" spans="1:1" x14ac:dyDescent="0.25">
      <c r="A76" s="39" t="s">
        <v>73</v>
      </c>
    </row>
    <row r="77" spans="1:1" x14ac:dyDescent="0.25">
      <c r="A77" s="39" t="s">
        <v>74</v>
      </c>
    </row>
    <row r="78" spans="1:1" x14ac:dyDescent="0.25">
      <c r="A78" s="39" t="s">
        <v>75</v>
      </c>
    </row>
    <row r="79" spans="1:1" x14ac:dyDescent="0.25">
      <c r="A79" s="40" t="s">
        <v>76</v>
      </c>
    </row>
  </sheetData>
  <mergeCells count="12">
    <mergeCell ref="B52:G52"/>
    <mergeCell ref="B53:G53"/>
    <mergeCell ref="B54:G54"/>
    <mergeCell ref="B55:C55"/>
    <mergeCell ref="B56:G56"/>
    <mergeCell ref="A57:G57"/>
    <mergeCell ref="A1:F1"/>
    <mergeCell ref="A33:D33"/>
    <mergeCell ref="B48:G48"/>
    <mergeCell ref="B49:G49"/>
    <mergeCell ref="B50:G50"/>
    <mergeCell ref="B51:G51"/>
  </mergeCells>
  <pageMargins left="0.511811024" right="0.511811024" top="0.78740157499999996" bottom="0.78740157499999996" header="0.31496062000000002" footer="0.31496062000000002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79"/>
  <sheetViews>
    <sheetView tabSelected="1" workbookViewId="0">
      <selection activeCell="B18" sqref="B18"/>
    </sheetView>
  </sheetViews>
  <sheetFormatPr defaultRowHeight="15" x14ac:dyDescent="0.25"/>
  <cols>
    <col min="1" max="1" width="32.28515625" bestFit="1" customWidth="1"/>
    <col min="2" max="2" width="11.28515625" bestFit="1" customWidth="1"/>
    <col min="3" max="3" width="17" bestFit="1" customWidth="1"/>
    <col min="4" max="4" width="10.5703125" bestFit="1" customWidth="1"/>
    <col min="5" max="5" width="10.7109375" customWidth="1"/>
    <col min="9" max="9" width="9.5703125" bestFit="1" customWidth="1"/>
  </cols>
  <sheetData>
    <row r="1" spans="1:6" x14ac:dyDescent="0.25">
      <c r="A1" s="44" t="s">
        <v>7</v>
      </c>
      <c r="B1" s="44"/>
      <c r="C1" s="44"/>
      <c r="D1" s="44"/>
      <c r="E1" s="44"/>
      <c r="F1" s="44"/>
    </row>
    <row r="2" spans="1:6" x14ac:dyDescent="0.25">
      <c r="A2" s="43" t="s">
        <v>88</v>
      </c>
      <c r="B2" s="43"/>
      <c r="C2" s="43"/>
      <c r="D2" s="43"/>
      <c r="E2" s="43"/>
      <c r="F2" s="43"/>
    </row>
    <row r="3" spans="1:6" x14ac:dyDescent="0.25">
      <c r="A3" s="43"/>
      <c r="B3" s="41" t="s">
        <v>78</v>
      </c>
      <c r="C3" s="43"/>
      <c r="D3" s="43">
        <v>100</v>
      </c>
      <c r="E3" s="43"/>
      <c r="F3" s="43"/>
    </row>
    <row r="4" spans="1:6" x14ac:dyDescent="0.25">
      <c r="A4" s="43"/>
      <c r="B4" s="41" t="s">
        <v>79</v>
      </c>
      <c r="C4" s="43"/>
      <c r="D4" s="43">
        <v>20</v>
      </c>
      <c r="E4" s="43"/>
      <c r="F4" s="43"/>
    </row>
    <row r="5" spans="1:6" x14ac:dyDescent="0.25">
      <c r="A5" s="10" t="s">
        <v>89</v>
      </c>
      <c r="B5" t="s">
        <v>23</v>
      </c>
      <c r="D5">
        <f>D3*D4</f>
        <v>2000</v>
      </c>
    </row>
    <row r="7" spans="1:6" x14ac:dyDescent="0.25">
      <c r="A7" s="43" t="s">
        <v>9</v>
      </c>
      <c r="B7" s="7">
        <v>150000</v>
      </c>
      <c r="C7" s="43"/>
      <c r="D7" s="43"/>
      <c r="E7" s="43"/>
      <c r="F7" s="43"/>
    </row>
    <row r="8" spans="1:6" x14ac:dyDescent="0.25">
      <c r="A8" s="43" t="s">
        <v>80</v>
      </c>
      <c r="B8" s="7">
        <f>B7*20%</f>
        <v>30000</v>
      </c>
      <c r="C8" s="43"/>
      <c r="D8" s="43"/>
      <c r="E8" s="43"/>
      <c r="F8" s="43"/>
    </row>
    <row r="9" spans="1:6" x14ac:dyDescent="0.25">
      <c r="A9" s="43" t="s">
        <v>10</v>
      </c>
      <c r="B9" s="7">
        <f>B7-B8</f>
        <v>120000</v>
      </c>
      <c r="C9" s="43"/>
      <c r="D9" s="43"/>
      <c r="E9" s="43"/>
      <c r="F9" s="43"/>
    </row>
    <row r="10" spans="1:6" x14ac:dyDescent="0.25">
      <c r="A10" s="43" t="s">
        <v>11</v>
      </c>
      <c r="B10" s="7">
        <v>60</v>
      </c>
      <c r="C10" s="7">
        <f>B9/B10</f>
        <v>2000</v>
      </c>
      <c r="D10" s="43"/>
      <c r="E10" s="43"/>
      <c r="F10" s="43"/>
    </row>
    <row r="11" spans="1:6" x14ac:dyDescent="0.25">
      <c r="A11" s="43" t="s">
        <v>13</v>
      </c>
      <c r="B11" s="15">
        <v>0.13750000000000001</v>
      </c>
      <c r="C11" s="8">
        <f>B7*B11/12</f>
        <v>1718.75</v>
      </c>
      <c r="D11" s="43"/>
      <c r="E11" s="43"/>
      <c r="F11" s="43"/>
    </row>
    <row r="13" spans="1:6" x14ac:dyDescent="0.25">
      <c r="A13" s="1" t="s">
        <v>0</v>
      </c>
      <c r="B13" s="1" t="s">
        <v>8</v>
      </c>
      <c r="C13" s="1" t="s">
        <v>21</v>
      </c>
      <c r="D13" s="1" t="s">
        <v>1</v>
      </c>
    </row>
    <row r="14" spans="1:6" x14ac:dyDescent="0.25">
      <c r="A14" s="2" t="s">
        <v>2</v>
      </c>
      <c r="B14" s="2">
        <v>6.6</v>
      </c>
      <c r="C14" s="2">
        <v>4</v>
      </c>
      <c r="D14" s="3">
        <f t="shared" ref="D14:D22" si="0">B14/C14</f>
        <v>1.65</v>
      </c>
    </row>
    <row r="15" spans="1:6" x14ac:dyDescent="0.25">
      <c r="A15" s="2" t="s">
        <v>6</v>
      </c>
      <c r="B15" s="3">
        <v>400</v>
      </c>
      <c r="C15" s="2">
        <f>D5</f>
        <v>2000</v>
      </c>
      <c r="D15" s="3">
        <f t="shared" si="0"/>
        <v>0.2</v>
      </c>
    </row>
    <row r="16" spans="1:6" x14ac:dyDescent="0.25">
      <c r="A16" s="2" t="s">
        <v>20</v>
      </c>
      <c r="B16" s="3"/>
      <c r="C16" s="2">
        <f>C15*12</f>
        <v>24000</v>
      </c>
      <c r="D16" s="3">
        <f t="shared" si="0"/>
        <v>0</v>
      </c>
    </row>
    <row r="17" spans="1:4" x14ac:dyDescent="0.25">
      <c r="A17" s="2" t="s">
        <v>3</v>
      </c>
      <c r="B17" s="3">
        <v>600</v>
      </c>
      <c r="C17" s="2">
        <f>C15</f>
        <v>2000</v>
      </c>
      <c r="D17" s="3">
        <f t="shared" si="0"/>
        <v>0.3</v>
      </c>
    </row>
    <row r="18" spans="1:4" x14ac:dyDescent="0.25">
      <c r="A18" s="2" t="s">
        <v>28</v>
      </c>
      <c r="B18" s="3">
        <f>4*950</f>
        <v>3800</v>
      </c>
      <c r="C18" s="2">
        <v>70000</v>
      </c>
      <c r="D18" s="3">
        <f t="shared" si="0"/>
        <v>5.4285714285714284E-2</v>
      </c>
    </row>
    <row r="19" spans="1:4" x14ac:dyDescent="0.25">
      <c r="A19" s="2" t="s">
        <v>26</v>
      </c>
      <c r="B19" s="3">
        <v>250</v>
      </c>
      <c r="C19" s="2">
        <f>C17</f>
        <v>2000</v>
      </c>
      <c r="D19" s="3">
        <f t="shared" si="0"/>
        <v>0.125</v>
      </c>
    </row>
    <row r="20" spans="1:4" x14ac:dyDescent="0.25">
      <c r="A20" s="2" t="s">
        <v>4</v>
      </c>
      <c r="B20" s="3">
        <f>I60</f>
        <v>5146.9285858585863</v>
      </c>
      <c r="C20" s="2">
        <f>C17</f>
        <v>2000</v>
      </c>
      <c r="D20" s="3">
        <f t="shared" si="0"/>
        <v>2.5734642929292932</v>
      </c>
    </row>
    <row r="21" spans="1:4" x14ac:dyDescent="0.25">
      <c r="A21" s="2" t="s">
        <v>12</v>
      </c>
      <c r="B21" s="3">
        <f>C10</f>
        <v>2000</v>
      </c>
      <c r="C21" s="2">
        <f>C20</f>
        <v>2000</v>
      </c>
      <c r="D21" s="3">
        <f t="shared" si="0"/>
        <v>1</v>
      </c>
    </row>
    <row r="22" spans="1:4" x14ac:dyDescent="0.25">
      <c r="A22" s="2" t="s">
        <v>14</v>
      </c>
      <c r="B22" s="9">
        <f>C11</f>
        <v>1718.75</v>
      </c>
      <c r="C22" s="2">
        <f>C21</f>
        <v>2000</v>
      </c>
      <c r="D22" s="3">
        <f t="shared" si="0"/>
        <v>0.859375</v>
      </c>
    </row>
    <row r="23" spans="1:4" x14ac:dyDescent="0.25">
      <c r="A23" s="4" t="s">
        <v>24</v>
      </c>
      <c r="B23" s="4"/>
      <c r="C23" s="4" t="s">
        <v>5</v>
      </c>
      <c r="D23" s="5">
        <f>SUM(D14:D22)</f>
        <v>6.7621250072150074</v>
      </c>
    </row>
    <row r="25" spans="1:4" x14ac:dyDescent="0.25">
      <c r="A25" s="2" t="s">
        <v>17</v>
      </c>
      <c r="B25" s="2"/>
      <c r="C25" s="11">
        <v>0.15</v>
      </c>
      <c r="D25" s="9">
        <f>D23*C25</f>
        <v>1.0143187510822511</v>
      </c>
    </row>
    <row r="26" spans="1:4" x14ac:dyDescent="0.25">
      <c r="A26" s="2" t="s">
        <v>18</v>
      </c>
      <c r="B26" s="2"/>
      <c r="C26" s="11">
        <v>0.15</v>
      </c>
      <c r="D26" s="9">
        <f>D23*C26</f>
        <v>1.0143187510822511</v>
      </c>
    </row>
    <row r="27" spans="1:4" x14ac:dyDescent="0.25">
      <c r="A27" s="12" t="s">
        <v>15</v>
      </c>
      <c r="B27" s="12"/>
      <c r="C27" s="12"/>
      <c r="D27" s="13">
        <f>D26+D25+D23</f>
        <v>8.7907625093795101</v>
      </c>
    </row>
    <row r="28" spans="1:4" x14ac:dyDescent="0.25">
      <c r="A28" s="2" t="s">
        <v>16</v>
      </c>
      <c r="B28" s="2"/>
      <c r="C28" s="14">
        <v>6.6500000000000004E-2</v>
      </c>
      <c r="D28" s="9">
        <f>D27*C28</f>
        <v>0.58458570687373745</v>
      </c>
    </row>
    <row r="29" spans="1:4" x14ac:dyDescent="0.25">
      <c r="A29" s="2" t="s">
        <v>19</v>
      </c>
      <c r="B29" s="2"/>
      <c r="C29" s="11"/>
      <c r="D29" s="9"/>
    </row>
    <row r="30" spans="1:4" x14ac:dyDescent="0.25">
      <c r="A30" s="12" t="s">
        <v>25</v>
      </c>
      <c r="B30" s="12"/>
      <c r="C30" s="12"/>
      <c r="D30" s="13">
        <f>D27+D28</f>
        <v>9.3753482162532471</v>
      </c>
    </row>
    <row r="31" spans="1:4" x14ac:dyDescent="0.25">
      <c r="A31" s="16" t="s">
        <v>27</v>
      </c>
      <c r="B31" s="2"/>
      <c r="C31" s="2">
        <f>D5</f>
        <v>2000</v>
      </c>
      <c r="D31" s="9">
        <f>D30*C31</f>
        <v>18750.696432506495</v>
      </c>
    </row>
    <row r="33" spans="1:9" ht="50.25" customHeight="1" x14ac:dyDescent="0.25">
      <c r="A33" s="51" t="s">
        <v>85</v>
      </c>
      <c r="B33" s="51"/>
      <c r="C33" s="51"/>
      <c r="D33" s="51"/>
    </row>
    <row r="34" spans="1:9" x14ac:dyDescent="0.25">
      <c r="A34" s="10" t="s">
        <v>62</v>
      </c>
      <c r="D34" s="17"/>
    </row>
    <row r="35" spans="1:9" x14ac:dyDescent="0.25">
      <c r="A35" s="12" t="s">
        <v>81</v>
      </c>
      <c r="B35" s="2"/>
      <c r="C35" s="3">
        <v>2933.17</v>
      </c>
      <c r="D35" s="9">
        <v>220</v>
      </c>
    </row>
    <row r="36" spans="1:9" x14ac:dyDescent="0.25">
      <c r="A36" s="2" t="s">
        <v>82</v>
      </c>
      <c r="B36" s="2"/>
      <c r="C36" s="3">
        <f>C35/D35*200</f>
        <v>2666.5181818181818</v>
      </c>
      <c r="D36" s="9"/>
    </row>
    <row r="37" spans="1:9" x14ac:dyDescent="0.25">
      <c r="A37" s="2" t="s">
        <v>52</v>
      </c>
      <c r="B37" s="11">
        <v>0.2</v>
      </c>
      <c r="C37" s="9">
        <f>C36*B37</f>
        <v>533.30363636363643</v>
      </c>
      <c r="D37" s="2"/>
    </row>
    <row r="38" spans="1:9" x14ac:dyDescent="0.25">
      <c r="A38" s="32" t="s">
        <v>60</v>
      </c>
      <c r="B38" s="11"/>
      <c r="C38" s="9"/>
      <c r="D38" s="13">
        <f>C37+C36</f>
        <v>3199.8218181818183</v>
      </c>
    </row>
    <row r="39" spans="1:9" x14ac:dyDescent="0.25">
      <c r="A39" s="2" t="s">
        <v>53</v>
      </c>
      <c r="B39" s="2">
        <v>20</v>
      </c>
      <c r="C39" s="3">
        <v>9.4</v>
      </c>
      <c r="D39" s="3">
        <f>C39*B39</f>
        <v>188</v>
      </c>
    </row>
    <row r="40" spans="1:9" x14ac:dyDescent="0.25">
      <c r="A40" s="2" t="s">
        <v>54</v>
      </c>
      <c r="B40" s="2">
        <v>1</v>
      </c>
      <c r="C40" s="3">
        <v>242.03</v>
      </c>
      <c r="D40" s="3">
        <f>B40*C40</f>
        <v>242.03</v>
      </c>
    </row>
    <row r="41" spans="1:9" x14ac:dyDescent="0.25">
      <c r="A41" s="2" t="s">
        <v>83</v>
      </c>
      <c r="B41" s="2"/>
      <c r="C41" s="42">
        <v>0.1</v>
      </c>
      <c r="D41" s="3">
        <f>-D40*C41</f>
        <v>-24.203000000000003</v>
      </c>
    </row>
    <row r="42" spans="1:9" x14ac:dyDescent="0.25">
      <c r="A42" s="2" t="s">
        <v>84</v>
      </c>
      <c r="B42" s="2"/>
      <c r="C42" s="42">
        <v>0.06</v>
      </c>
      <c r="D42" s="3">
        <f>-C36*C42</f>
        <v>-159.9910909090909</v>
      </c>
      <c r="E42" s="17"/>
    </row>
    <row r="43" spans="1:9" x14ac:dyDescent="0.25">
      <c r="A43" s="12" t="s">
        <v>55</v>
      </c>
      <c r="B43" s="12"/>
      <c r="C43" s="12"/>
      <c r="D43" s="13">
        <f>SUM(D38:D42)</f>
        <v>3445.6577272727277</v>
      </c>
    </row>
    <row r="44" spans="1:9" x14ac:dyDescent="0.25">
      <c r="A44" s="2" t="s">
        <v>56</v>
      </c>
      <c r="B44" s="2"/>
      <c r="C44" s="2"/>
      <c r="D44" s="9">
        <f>D43/12</f>
        <v>287.13814393939396</v>
      </c>
    </row>
    <row r="45" spans="1:9" x14ac:dyDescent="0.25">
      <c r="A45" s="2" t="s">
        <v>57</v>
      </c>
      <c r="B45" s="2"/>
      <c r="C45" s="2"/>
      <c r="D45" s="3">
        <f>(D43/3)/12</f>
        <v>95.712714646464647</v>
      </c>
    </row>
    <row r="46" spans="1:9" x14ac:dyDescent="0.25">
      <c r="A46" s="12" t="s">
        <v>58</v>
      </c>
      <c r="B46" s="12"/>
      <c r="C46" s="12"/>
      <c r="D46" s="31">
        <f>D45+D44+D43</f>
        <v>3828.5085858585862</v>
      </c>
      <c r="E46" s="10" t="s">
        <v>59</v>
      </c>
      <c r="F46" s="10"/>
      <c r="G46" s="10"/>
      <c r="H46" s="10"/>
      <c r="I46" s="30">
        <f>D38+D44+D45</f>
        <v>3582.6726767676769</v>
      </c>
    </row>
    <row r="48" spans="1:9" ht="30" x14ac:dyDescent="0.25">
      <c r="A48" s="18" t="s">
        <v>29</v>
      </c>
      <c r="B48" s="45" t="s">
        <v>30</v>
      </c>
      <c r="C48" s="46"/>
      <c r="D48" s="46"/>
      <c r="E48" s="46"/>
      <c r="F48" s="46"/>
      <c r="G48" s="47"/>
      <c r="H48" s="19" t="s">
        <v>31</v>
      </c>
      <c r="I48" s="19" t="s">
        <v>32</v>
      </c>
    </row>
    <row r="49" spans="1:9" x14ac:dyDescent="0.25">
      <c r="A49" s="20" t="s">
        <v>33</v>
      </c>
      <c r="B49" s="48" t="s">
        <v>34</v>
      </c>
      <c r="C49" s="49"/>
      <c r="D49" s="49"/>
      <c r="E49" s="49"/>
      <c r="F49" s="49"/>
      <c r="G49" s="50"/>
      <c r="H49" s="21">
        <v>0.2</v>
      </c>
      <c r="I49" s="22">
        <f>$I$46*H49</f>
        <v>716.53453535353538</v>
      </c>
    </row>
    <row r="50" spans="1:9" x14ac:dyDescent="0.25">
      <c r="A50" s="20" t="s">
        <v>35</v>
      </c>
      <c r="B50" s="48" t="s">
        <v>36</v>
      </c>
      <c r="C50" s="49"/>
      <c r="D50" s="49"/>
      <c r="E50" s="49"/>
      <c r="F50" s="49"/>
      <c r="G50" s="50"/>
      <c r="H50" s="21">
        <v>1.4999999999999999E-2</v>
      </c>
      <c r="I50" s="22">
        <f t="shared" ref="I50:I56" si="1">$I$46*H50</f>
        <v>53.740090151515155</v>
      </c>
    </row>
    <row r="51" spans="1:9" x14ac:dyDescent="0.25">
      <c r="A51" s="20" t="s">
        <v>37</v>
      </c>
      <c r="B51" s="48" t="s">
        <v>38</v>
      </c>
      <c r="C51" s="49"/>
      <c r="D51" s="49"/>
      <c r="E51" s="49"/>
      <c r="F51" s="49"/>
      <c r="G51" s="50"/>
      <c r="H51" s="21">
        <v>0.01</v>
      </c>
      <c r="I51" s="22">
        <f t="shared" si="1"/>
        <v>35.826726767676767</v>
      </c>
    </row>
    <row r="52" spans="1:9" x14ac:dyDescent="0.25">
      <c r="A52" s="20" t="s">
        <v>39</v>
      </c>
      <c r="B52" s="48" t="s">
        <v>40</v>
      </c>
      <c r="C52" s="49"/>
      <c r="D52" s="49"/>
      <c r="E52" s="49"/>
      <c r="F52" s="49"/>
      <c r="G52" s="50"/>
      <c r="H52" s="21">
        <v>2E-3</v>
      </c>
      <c r="I52" s="22">
        <f t="shared" si="1"/>
        <v>7.1653453535353542</v>
      </c>
    </row>
    <row r="53" spans="1:9" x14ac:dyDescent="0.25">
      <c r="A53" s="20" t="s">
        <v>41</v>
      </c>
      <c r="B53" s="55" t="s">
        <v>42</v>
      </c>
      <c r="C53" s="56"/>
      <c r="D53" s="56"/>
      <c r="E53" s="56"/>
      <c r="F53" s="56"/>
      <c r="G53" s="57"/>
      <c r="H53" s="21">
        <v>2.5000000000000001E-2</v>
      </c>
      <c r="I53" s="22">
        <f t="shared" si="1"/>
        <v>89.566816919191922</v>
      </c>
    </row>
    <row r="54" spans="1:9" x14ac:dyDescent="0.25">
      <c r="A54" s="20" t="s">
        <v>43</v>
      </c>
      <c r="B54" s="55" t="s">
        <v>44</v>
      </c>
      <c r="C54" s="56"/>
      <c r="D54" s="56"/>
      <c r="E54" s="56"/>
      <c r="F54" s="56"/>
      <c r="G54" s="57"/>
      <c r="H54" s="23">
        <v>0.08</v>
      </c>
      <c r="I54" s="22">
        <f t="shared" si="1"/>
        <v>286.61381414141414</v>
      </c>
    </row>
    <row r="55" spans="1:9" x14ac:dyDescent="0.25">
      <c r="A55" s="20" t="s">
        <v>45</v>
      </c>
      <c r="B55" s="58" t="s">
        <v>46</v>
      </c>
      <c r="C55" s="59"/>
      <c r="D55" s="24" t="s">
        <v>47</v>
      </c>
      <c r="E55" s="25">
        <v>0.03</v>
      </c>
      <c r="F55" s="24" t="s">
        <v>48</v>
      </c>
      <c r="G55" s="26">
        <v>1</v>
      </c>
      <c r="H55" s="27">
        <f>ROUND((E55*G55),6)</f>
        <v>0.03</v>
      </c>
      <c r="I55" s="22">
        <f t="shared" si="1"/>
        <v>107.48018030303031</v>
      </c>
    </row>
    <row r="56" spans="1:9" x14ac:dyDescent="0.25">
      <c r="A56" s="20" t="s">
        <v>49</v>
      </c>
      <c r="B56" s="55" t="s">
        <v>50</v>
      </c>
      <c r="C56" s="56"/>
      <c r="D56" s="56"/>
      <c r="E56" s="56"/>
      <c r="F56" s="56"/>
      <c r="G56" s="57"/>
      <c r="H56" s="21">
        <v>6.0000000000000001E-3</v>
      </c>
      <c r="I56" s="22">
        <f t="shared" si="1"/>
        <v>21.496036060606063</v>
      </c>
    </row>
    <row r="57" spans="1:9" x14ac:dyDescent="0.25">
      <c r="A57" s="52" t="s">
        <v>51</v>
      </c>
      <c r="B57" s="53"/>
      <c r="C57" s="53"/>
      <c r="D57" s="53"/>
      <c r="E57" s="53"/>
      <c r="F57" s="53"/>
      <c r="G57" s="54"/>
      <c r="H57" s="28">
        <f>SUM(H49:H56)</f>
        <v>0.3680000000000001</v>
      </c>
      <c r="I57" s="29">
        <f>TRUNC(SUM(I49:I56),2)</f>
        <v>1318.42</v>
      </c>
    </row>
    <row r="59" spans="1:9" x14ac:dyDescent="0.25">
      <c r="A59" s="33" t="s">
        <v>63</v>
      </c>
      <c r="B59" s="2"/>
      <c r="C59" s="2"/>
      <c r="D59" s="2"/>
      <c r="E59" s="2"/>
      <c r="F59" s="2"/>
      <c r="G59" s="2"/>
      <c r="H59" s="2"/>
      <c r="I59" s="13">
        <f>D46+I57</f>
        <v>5146.9285858585863</v>
      </c>
    </row>
    <row r="60" spans="1:9" x14ac:dyDescent="0.25">
      <c r="A60" s="34" t="s">
        <v>61</v>
      </c>
      <c r="B60" s="2"/>
      <c r="C60" s="2"/>
      <c r="D60" s="2"/>
      <c r="E60" s="2"/>
      <c r="F60" s="2"/>
      <c r="G60" s="2"/>
      <c r="H60" s="11">
        <v>1</v>
      </c>
      <c r="I60" s="13">
        <f>I59*H60</f>
        <v>5146.9285858585863</v>
      </c>
    </row>
    <row r="64" spans="1:9" x14ac:dyDescent="0.25">
      <c r="A64" s="36" t="s">
        <v>64</v>
      </c>
    </row>
    <row r="65" spans="1:1" x14ac:dyDescent="0.25">
      <c r="A65" s="37" t="s">
        <v>65</v>
      </c>
    </row>
    <row r="66" spans="1:1" x14ac:dyDescent="0.25">
      <c r="A66" s="37" t="s">
        <v>66</v>
      </c>
    </row>
    <row r="67" spans="1:1" x14ac:dyDescent="0.25">
      <c r="A67" s="37" t="s">
        <v>67</v>
      </c>
    </row>
    <row r="68" spans="1:1" x14ac:dyDescent="0.25">
      <c r="A68" s="37" t="s">
        <v>68</v>
      </c>
    </row>
    <row r="69" spans="1:1" x14ac:dyDescent="0.25">
      <c r="A69" s="37"/>
    </row>
    <row r="70" spans="1:1" x14ac:dyDescent="0.25">
      <c r="A70" s="37"/>
    </row>
    <row r="71" spans="1:1" x14ac:dyDescent="0.25">
      <c r="A71" s="37"/>
    </row>
    <row r="72" spans="1:1" x14ac:dyDescent="0.25">
      <c r="A72" s="38" t="s">
        <v>69</v>
      </c>
    </row>
    <row r="73" spans="1:1" x14ac:dyDescent="0.25">
      <c r="A73" s="39" t="s">
        <v>70</v>
      </c>
    </row>
    <row r="74" spans="1:1" x14ac:dyDescent="0.25">
      <c r="A74" s="39" t="s">
        <v>71</v>
      </c>
    </row>
    <row r="75" spans="1:1" x14ac:dyDescent="0.25">
      <c r="A75" s="39" t="s">
        <v>72</v>
      </c>
    </row>
    <row r="76" spans="1:1" x14ac:dyDescent="0.25">
      <c r="A76" s="39" t="s">
        <v>73</v>
      </c>
    </row>
    <row r="77" spans="1:1" x14ac:dyDescent="0.25">
      <c r="A77" s="39" t="s">
        <v>74</v>
      </c>
    </row>
    <row r="78" spans="1:1" x14ac:dyDescent="0.25">
      <c r="A78" s="39" t="s">
        <v>75</v>
      </c>
    </row>
    <row r="79" spans="1:1" x14ac:dyDescent="0.25">
      <c r="A79" s="40" t="s">
        <v>76</v>
      </c>
    </row>
  </sheetData>
  <mergeCells count="12">
    <mergeCell ref="B52:G52"/>
    <mergeCell ref="B53:G53"/>
    <mergeCell ref="B54:G54"/>
    <mergeCell ref="B55:C55"/>
    <mergeCell ref="B56:G56"/>
    <mergeCell ref="A57:G57"/>
    <mergeCell ref="A1:F1"/>
    <mergeCell ref="A33:D33"/>
    <mergeCell ref="B48:G48"/>
    <mergeCell ref="B49:G49"/>
    <mergeCell ref="B50:G50"/>
    <mergeCell ref="B51:G51"/>
  </mergeCells>
  <pageMargins left="0.511811024" right="0.511811024" top="0.78740157499999996" bottom="0.78740157499999996" header="0.31496062000000002" footer="0.31496062000000002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van 15 lugar</vt:lpstr>
      <vt:lpstr>van 18 lugar</vt:lpstr>
      <vt:lpstr>van 22 lugar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Cezar</dc:creator>
  <cp:lastModifiedBy>Cézar</cp:lastModifiedBy>
  <dcterms:created xsi:type="dcterms:W3CDTF">2019-11-18T12:02:57Z</dcterms:created>
  <dcterms:modified xsi:type="dcterms:W3CDTF">2022-11-07T16:36:32Z</dcterms:modified>
</cp:coreProperties>
</file>